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revisionsPassword="CC51" lockRevision="1"/>
  <bookViews>
    <workbookView xWindow="0" yWindow="0" windowWidth="19200" windowHeight="11295"/>
  </bookViews>
  <sheets>
    <sheet name="EDIFICIOS " sheetId="1" r:id="rId1"/>
    <sheet name="Anexo 1" sheetId="2" state="hidden" r:id="rId2"/>
    <sheet name="Hoja1" sheetId="3" state="hidden" r:id="rId3"/>
  </sheets>
  <definedNames>
    <definedName name="_xlnm.Print_Titles" localSheetId="0">'EDIFICIOS '!$1:$5</definedName>
    <definedName name="Z_0386313A_73AE_47D0_965F_4D00B9DAD76D_.wvu.PrintTitles" localSheetId="0" hidden="1">'EDIFICIOS '!$1:$5</definedName>
    <definedName name="Z_09B2094C_19D8_47E1_AF56_545D1F5AA0A8_.wvu.PrintTitles" localSheetId="0" hidden="1">'EDIFICIOS '!$1:$5</definedName>
    <definedName name="Z_3EF0E66A_1E34_4E26_BD4A_9C22DA1B402C_.wvu.PrintTitles" localSheetId="0" hidden="1">'EDIFICIOS '!$1:$5</definedName>
    <definedName name="Z_771257A9_3257_41CF_AC84_903D46ED5D4D_.wvu.PrintTitles" localSheetId="0" hidden="1">'EDIFICIOS '!$1:$5</definedName>
    <definedName name="Z_98571CED_CC06_4DD2_AF37_345D8AE78018_.wvu.PrintTitles" localSheetId="0" hidden="1">'EDIFICIOS '!$1:$5</definedName>
    <definedName name="Z_9E420CD0_3DBA_4476_8F22_8DA45419D7D4_.wvu.PrintTitles" localSheetId="0" hidden="1">'EDIFICIOS '!$1:$5</definedName>
    <definedName name="Z_A672F5D4_E0DD_46EC_9005_3B368E079EB9_.wvu.PrintTitles" localSheetId="0" hidden="1">'EDIFICIOS '!$1:$5</definedName>
  </definedNames>
  <calcPr calcId="152511"/>
  <customWorkbookViews>
    <customWorkbookView name="MIGUEL - Vista personalizada" guid="{09B2094C-19D8-47E1-AF56-545D1F5AA0A8}" mergeInterval="0" personalView="1" maximized="1" windowWidth="1276" windowHeight="779" activeSheetId="1"/>
    <customWorkbookView name="blanca Lopez - Vista personalizada" guid="{A672F5D4-E0DD-46EC-9005-3B368E079EB9}" mergeInterval="0" personalView="1" maximized="1" xWindow="-8" yWindow="-8" windowWidth="1296" windowHeight="1000" activeSheetId="2"/>
    <customWorkbookView name="austreberto - Vista personalizada" guid="{98571CED-CC06-4DD2-AF37-345D8AE78018}" mergeInterval="0" personalView="1" maximized="1" xWindow="-9" yWindow="-9" windowWidth="1618" windowHeight="870" activeSheetId="1"/>
    <customWorkbookView name="Diana - Vista personalizada" guid="{9E420CD0-3DBA-4476-8F22-8DA45419D7D4}" mergeInterval="0" personalView="1" maximized="1" xWindow="-8" yWindow="-8" windowWidth="1616" windowHeight="876" activeSheetId="1"/>
    <customWorkbookView name="DianaG - Vista personalizada" guid="{0386313A-73AE-47D0-965F-4D00B9DAD76D}" mergeInterval="0" personalView="1" maximized="1" windowWidth="1596" windowHeight="655" activeSheetId="1"/>
    <customWorkbookView name="Malee - Vista personalizada" guid="{3EF0E66A-1E34-4E26-BD4A-9C22DA1B402C}" mergeInterval="0" personalView="1" maximized="1" windowWidth="1596" windowHeight="674" activeSheetId="1"/>
    <customWorkbookView name="marcos - Vista personalizada" guid="{771257A9-3257-41CF-AC84-903D46ED5D4D}" mergeInterval="0" personalView="1" maximized="1" windowWidth="1596" windowHeight="615" activeSheetId="1"/>
  </customWorkbookViews>
</workbook>
</file>

<file path=xl/calcChain.xml><?xml version="1.0" encoding="utf-8"?>
<calcChain xmlns="http://schemas.openxmlformats.org/spreadsheetml/2006/main">
  <c r="O205" i="1" l="1"/>
  <c r="O9" i="1" l="1"/>
  <c r="O217" i="1" l="1"/>
  <c r="C16" i="2" l="1"/>
  <c r="C15" i="2" l="1"/>
  <c r="C14" i="2"/>
  <c r="C10" i="2"/>
  <c r="C9" i="2"/>
  <c r="C8" i="2"/>
  <c r="P205" i="1" l="1"/>
  <c r="N205" i="1"/>
  <c r="N203" i="1"/>
  <c r="N197" i="1"/>
  <c r="N195" i="1"/>
  <c r="N192" i="1"/>
  <c r="N189" i="1"/>
  <c r="N185" i="1"/>
  <c r="N183" i="1"/>
  <c r="N181" i="1"/>
  <c r="N176" i="1"/>
  <c r="N169" i="1"/>
  <c r="N166" i="1"/>
  <c r="N162" i="1"/>
  <c r="N158" i="1"/>
  <c r="N152" i="1"/>
  <c r="N148" i="1"/>
  <c r="N144" i="1"/>
  <c r="N137" i="1"/>
  <c r="N132" i="1"/>
  <c r="N127" i="1"/>
  <c r="N121" i="1"/>
  <c r="N118" i="1"/>
  <c r="N111" i="1"/>
  <c r="N103" i="1"/>
  <c r="N96" i="1"/>
  <c r="N89" i="1"/>
  <c r="N79" i="1"/>
  <c r="N75" i="1"/>
  <c r="N71" i="1"/>
  <c r="N67" i="1"/>
  <c r="N64" i="1"/>
  <c r="N59" i="1"/>
  <c r="N52" i="1"/>
  <c r="N44" i="1"/>
  <c r="N39" i="1"/>
  <c r="N34" i="1"/>
  <c r="N29" i="1"/>
  <c r="N18" i="1"/>
  <c r="N23" i="1"/>
  <c r="N9" i="1"/>
  <c r="L195" i="1" l="1"/>
  <c r="L103" i="1"/>
  <c r="L126" i="1" l="1"/>
  <c r="K162" i="1"/>
  <c r="L162" i="1"/>
  <c r="K6" i="1" l="1"/>
  <c r="J6" i="1"/>
  <c r="J14" i="1" l="1"/>
  <c r="J127" i="1"/>
  <c r="L127" i="1" s="1"/>
  <c r="L125" i="1"/>
  <c r="J124" i="1"/>
  <c r="L124" i="1" s="1"/>
  <c r="J123" i="1"/>
  <c r="L123" i="1" s="1"/>
  <c r="J122" i="1"/>
  <c r="L122" i="1" s="1"/>
  <c r="M127" i="1" s="1"/>
  <c r="J128" i="1" l="1"/>
  <c r="L128" i="1" s="1"/>
  <c r="J129" i="1"/>
  <c r="L129" i="1" s="1"/>
  <c r="L130" i="1"/>
  <c r="L131" i="1"/>
  <c r="L132" i="1"/>
  <c r="K59" i="1"/>
  <c r="L74" i="1"/>
  <c r="M132" i="1" l="1"/>
  <c r="K7" i="1"/>
  <c r="L43" i="1" l="1"/>
  <c r="K157" i="1" l="1"/>
  <c r="L179" i="1" l="1"/>
  <c r="J154" i="1"/>
  <c r="J194" i="1"/>
  <c r="L194" i="1" s="1"/>
  <c r="L78" i="1"/>
  <c r="J11" i="1"/>
  <c r="L101" i="1" l="1"/>
  <c r="L189" i="1"/>
  <c r="J157" i="1"/>
  <c r="L157" i="1" s="1"/>
  <c r="L188" i="1"/>
  <c r="L187" i="1"/>
  <c r="L186" i="1"/>
  <c r="M189" i="1" l="1"/>
  <c r="L110" i="1"/>
  <c r="J94" i="1"/>
  <c r="J95" i="1"/>
  <c r="L9" i="1" l="1"/>
  <c r="L10" i="1" l="1"/>
  <c r="M10" i="1" s="1"/>
  <c r="K197" i="1" l="1"/>
  <c r="J197" i="1"/>
  <c r="L77" i="1"/>
  <c r="J58" i="1"/>
  <c r="L58" i="1" s="1"/>
  <c r="J59" i="1"/>
  <c r="L57" i="1"/>
  <c r="K23" i="1"/>
  <c r="J23" i="1"/>
  <c r="L23" i="1" l="1"/>
  <c r="L59" i="1"/>
  <c r="L197" i="1"/>
  <c r="L185" i="1"/>
  <c r="J151" i="1" l="1"/>
  <c r="L151" i="1" s="1"/>
  <c r="L152" i="1"/>
  <c r="L119" i="1" l="1"/>
  <c r="J115" i="1"/>
  <c r="L115" i="1" s="1"/>
  <c r="K102" i="1"/>
  <c r="L102" i="1" s="1"/>
  <c r="L71" i="1"/>
  <c r="L70" i="1"/>
  <c r="L69" i="1"/>
  <c r="L68" i="1"/>
  <c r="M71" i="1" s="1"/>
  <c r="J83" i="1" l="1"/>
  <c r="L42" i="1"/>
  <c r="L21" i="1"/>
  <c r="L116" i="1"/>
  <c r="J137" i="1" l="1"/>
  <c r="J136" i="1"/>
  <c r="L136" i="1" s="1"/>
  <c r="L164" i="1" l="1"/>
  <c r="L165" i="1" l="1"/>
  <c r="L161" i="1"/>
  <c r="L203" i="1"/>
  <c r="L202" i="1"/>
  <c r="L201" i="1"/>
  <c r="L200" i="1"/>
  <c r="L199" i="1"/>
  <c r="L198" i="1"/>
  <c r="M198" i="1" s="1"/>
  <c r="L196" i="1"/>
  <c r="L180" i="1"/>
  <c r="L168" i="1"/>
  <c r="J193" i="1"/>
  <c r="L193" i="1" s="1"/>
  <c r="L192" i="1"/>
  <c r="J191" i="1"/>
  <c r="L191" i="1" s="1"/>
  <c r="J190" i="1"/>
  <c r="L190" i="1" s="1"/>
  <c r="L184" i="1"/>
  <c r="M185" i="1" s="1"/>
  <c r="L183" i="1"/>
  <c r="L182" i="1"/>
  <c r="L181" i="1"/>
  <c r="L178" i="1"/>
  <c r="L177" i="1"/>
  <c r="L176" i="1"/>
  <c r="L175" i="1"/>
  <c r="L174" i="1"/>
  <c r="L173" i="1"/>
  <c r="L172" i="1"/>
  <c r="L171" i="1"/>
  <c r="J170" i="1"/>
  <c r="L170" i="1" s="1"/>
  <c r="L169" i="1"/>
  <c r="L167" i="1"/>
  <c r="L166" i="1"/>
  <c r="L163" i="1"/>
  <c r="L160" i="1"/>
  <c r="L159" i="1"/>
  <c r="M162" i="1" s="1"/>
  <c r="K158" i="1"/>
  <c r="L158" i="1" s="1"/>
  <c r="J156" i="1"/>
  <c r="L156" i="1" s="1"/>
  <c r="L155" i="1"/>
  <c r="L154" i="1"/>
  <c r="J153" i="1"/>
  <c r="L153" i="1" s="1"/>
  <c r="J150" i="1"/>
  <c r="L150" i="1" s="1"/>
  <c r="J149" i="1"/>
  <c r="L149" i="1" s="1"/>
  <c r="L148" i="1"/>
  <c r="J147" i="1"/>
  <c r="J146" i="1"/>
  <c r="L146" i="1" s="1"/>
  <c r="L145" i="1"/>
  <c r="L144" i="1"/>
  <c r="L143" i="1"/>
  <c r="L142" i="1"/>
  <c r="L141" i="1"/>
  <c r="L140" i="1"/>
  <c r="L139" i="1"/>
  <c r="L138" i="1"/>
  <c r="L137" i="1"/>
  <c r="L135" i="1"/>
  <c r="K134" i="1"/>
  <c r="L134" i="1" s="1"/>
  <c r="L133" i="1"/>
  <c r="M133" i="1" s="1"/>
  <c r="L121" i="1"/>
  <c r="L120" i="1"/>
  <c r="L118" i="1"/>
  <c r="L117" i="1"/>
  <c r="J114" i="1"/>
  <c r="J113" i="1"/>
  <c r="L113" i="1" s="1"/>
  <c r="J112" i="1"/>
  <c r="L112" i="1" s="1"/>
  <c r="L111" i="1"/>
  <c r="L109" i="1"/>
  <c r="L108" i="1"/>
  <c r="L107" i="1"/>
  <c r="J106" i="1"/>
  <c r="J105" i="1"/>
  <c r="L105" i="1" s="1"/>
  <c r="J104" i="1"/>
  <c r="L104" i="1" s="1"/>
  <c r="L100" i="1"/>
  <c r="L99" i="1"/>
  <c r="L98" i="1"/>
  <c r="L97" i="1"/>
  <c r="L96" i="1"/>
  <c r="L95" i="1"/>
  <c r="L94" i="1"/>
  <c r="J93" i="1"/>
  <c r="L93" i="1" s="1"/>
  <c r="J92" i="1"/>
  <c r="L92" i="1" s="1"/>
  <c r="J91" i="1"/>
  <c r="J90" i="1"/>
  <c r="L90" i="1" s="1"/>
  <c r="L89" i="1"/>
  <c r="L88" i="1"/>
  <c r="L87" i="1"/>
  <c r="L86" i="1"/>
  <c r="J85" i="1"/>
  <c r="L85" i="1" s="1"/>
  <c r="J84" i="1"/>
  <c r="L84" i="1" s="1"/>
  <c r="J82" i="1"/>
  <c r="L82" i="1" s="1"/>
  <c r="J81" i="1"/>
  <c r="L81" i="1" s="1"/>
  <c r="J80" i="1"/>
  <c r="L80" i="1" s="1"/>
  <c r="M80" i="1" s="1"/>
  <c r="L79" i="1"/>
  <c r="L76" i="1"/>
  <c r="L75" i="1"/>
  <c r="L73" i="1"/>
  <c r="L72" i="1"/>
  <c r="L67" i="1"/>
  <c r="L66" i="1"/>
  <c r="L65" i="1"/>
  <c r="L64" i="1"/>
  <c r="L63" i="1"/>
  <c r="L62" i="1"/>
  <c r="L61" i="1"/>
  <c r="L60" i="1"/>
  <c r="L56" i="1"/>
  <c r="L55" i="1"/>
  <c r="L54" i="1"/>
  <c r="L53" i="1"/>
  <c r="L52" i="1"/>
  <c r="L51" i="1"/>
  <c r="L50" i="1"/>
  <c r="L49" i="1"/>
  <c r="L48" i="1"/>
  <c r="L47" i="1"/>
  <c r="L46" i="1"/>
  <c r="L45" i="1"/>
  <c r="K44" i="1"/>
  <c r="J44" i="1"/>
  <c r="K41" i="1"/>
  <c r="J41" i="1"/>
  <c r="K40" i="1"/>
  <c r="J40" i="1"/>
  <c r="L39" i="1"/>
  <c r="L38" i="1"/>
  <c r="J37" i="1"/>
  <c r="L37" i="1" s="1"/>
  <c r="L36" i="1"/>
  <c r="J35" i="1"/>
  <c r="L35" i="1" s="1"/>
  <c r="J34" i="1"/>
  <c r="L34" i="1" s="1"/>
  <c r="L33" i="1"/>
  <c r="L32" i="1"/>
  <c r="L31" i="1"/>
  <c r="K30" i="1"/>
  <c r="L30" i="1" s="1"/>
  <c r="L29" i="1"/>
  <c r="L28" i="1"/>
  <c r="L27" i="1"/>
  <c r="K26" i="1"/>
  <c r="J26" i="1"/>
  <c r="K25" i="1"/>
  <c r="J25" i="1"/>
  <c r="K24" i="1"/>
  <c r="J24" i="1"/>
  <c r="L22" i="1"/>
  <c r="L20" i="1"/>
  <c r="L19" i="1"/>
  <c r="L18" i="1"/>
  <c r="K17" i="1"/>
  <c r="L17" i="1" s="1"/>
  <c r="L16" i="1"/>
  <c r="L15" i="1"/>
  <c r="K14" i="1"/>
  <c r="K13" i="1"/>
  <c r="J13" i="1"/>
  <c r="K12" i="1"/>
  <c r="J12" i="1"/>
  <c r="L12" i="1" s="1"/>
  <c r="L11" i="1"/>
  <c r="L8" i="1"/>
  <c r="J7" i="1"/>
  <c r="M103" i="1" l="1"/>
  <c r="M137" i="1"/>
  <c r="M192" i="1"/>
  <c r="M169" i="1"/>
  <c r="M144" i="1"/>
  <c r="M203" i="1"/>
  <c r="M75" i="1"/>
  <c r="M181" i="1"/>
  <c r="M176" i="1"/>
  <c r="M121" i="1"/>
  <c r="M152" i="1"/>
  <c r="M183" i="1"/>
  <c r="M166" i="1"/>
  <c r="M23" i="1"/>
  <c r="M67" i="1"/>
  <c r="M195" i="1"/>
  <c r="M39" i="1"/>
  <c r="M34" i="1"/>
  <c r="M64" i="1"/>
  <c r="M59" i="1"/>
  <c r="M52" i="1"/>
  <c r="M197" i="1"/>
  <c r="L6" i="1"/>
  <c r="L7" i="1"/>
  <c r="L14" i="1"/>
  <c r="L25" i="1"/>
  <c r="L41" i="1"/>
  <c r="L83" i="1"/>
  <c r="M89" i="1" s="1"/>
  <c r="L114" i="1"/>
  <c r="M118" i="1" s="1"/>
  <c r="L147" i="1"/>
  <c r="L91" i="1"/>
  <c r="M96" i="1" s="1"/>
  <c r="L24" i="1"/>
  <c r="L26" i="1"/>
  <c r="L40" i="1"/>
  <c r="L44" i="1"/>
  <c r="L106" i="1"/>
  <c r="M111" i="1" s="1"/>
  <c r="M79" i="1"/>
  <c r="L13" i="1"/>
  <c r="M158" i="1"/>
  <c r="M9" i="1" l="1"/>
  <c r="M148" i="1"/>
  <c r="M29" i="1"/>
  <c r="M44" i="1"/>
  <c r="M18" i="1"/>
  <c r="M205" i="1" l="1"/>
</calcChain>
</file>

<file path=xl/comments1.xml><?xml version="1.0" encoding="utf-8"?>
<comments xmlns="http://schemas.openxmlformats.org/spreadsheetml/2006/main">
  <authors>
    <author>Diana</author>
    <author>DianaG</author>
  </authors>
  <commentList>
    <comment ref="N3" authorId="0" guid="{CAC49DD7-8BEC-45B0-8E96-609A69A33891}">
      <text>
        <r>
          <rPr>
            <b/>
            <sz val="9"/>
            <color indexed="81"/>
            <rFont val="Tahoma"/>
            <family val="2"/>
          </rPr>
          <t>Diana:</t>
        </r>
        <r>
          <rPr>
            <sz val="9"/>
            <color indexed="81"/>
            <rFont val="Tahoma"/>
            <family val="2"/>
          </rPr>
          <t xml:space="preserve">
ACTUALIZAR RECURSOS MATERIALES
</t>
        </r>
      </text>
    </comment>
    <comment ref="H4" authorId="0" guid="{A8618AC8-37CD-46DE-A7E8-8D51A7C7DBB9}">
      <text>
        <r>
          <rPr>
            <b/>
            <sz val="9"/>
            <color indexed="81"/>
            <rFont val="Tahoma"/>
            <family val="2"/>
          </rPr>
          <t>Diana:</t>
        </r>
        <r>
          <rPr>
            <sz val="9"/>
            <color indexed="81"/>
            <rFont val="Tahoma"/>
            <family val="2"/>
          </rPr>
          <t xml:space="preserve">
AGREGADO POR INFRA
</t>
        </r>
      </text>
    </comment>
    <comment ref="F45" authorId="1" guid="{40BDE085-A719-4A8F-9F27-D3861BBB5429}">
      <text>
        <r>
          <rPr>
            <b/>
            <sz val="9"/>
            <color indexed="81"/>
            <rFont val="Tahoma"/>
            <family val="2"/>
          </rPr>
          <t>DianaG:</t>
        </r>
        <r>
          <rPr>
            <sz val="9"/>
            <color indexed="81"/>
            <rFont val="Tahoma"/>
            <family val="2"/>
          </rPr>
          <t xml:space="preserve">
Aula seminueva comprada para portales</t>
        </r>
      </text>
    </comment>
    <comment ref="F182" authorId="1" guid="{113C4B8C-A3FA-4D2B-A9AB-6F85415FA278}">
      <text>
        <r>
          <rPr>
            <b/>
            <sz val="9"/>
            <color indexed="81"/>
            <rFont val="Tahoma"/>
            <family val="2"/>
          </rPr>
          <t>DianaG:</t>
        </r>
        <r>
          <rPr>
            <sz val="9"/>
            <color indexed="81"/>
            <rFont val="Tahoma"/>
            <family val="2"/>
          </rPr>
          <t xml:space="preserve">
Comprada para Villa J. María</t>
        </r>
      </text>
    </comment>
    <comment ref="F184" authorId="1" guid="{8A7AD689-134B-4109-BA2D-71E145467B1B}">
      <text>
        <r>
          <rPr>
            <b/>
            <sz val="9"/>
            <color indexed="81"/>
            <rFont val="Tahoma"/>
            <family val="2"/>
          </rPr>
          <t>DianaG:</t>
        </r>
        <r>
          <rPr>
            <sz val="9"/>
            <color indexed="81"/>
            <rFont val="Tahoma"/>
            <family val="2"/>
          </rPr>
          <t xml:space="preserve">
Comprada para Bahía</t>
        </r>
      </text>
    </comment>
  </commentList>
</comments>
</file>

<file path=xl/comments2.xml><?xml version="1.0" encoding="utf-8"?>
<comments xmlns="http://schemas.openxmlformats.org/spreadsheetml/2006/main">
  <authors>
    <author>Diana</author>
  </authors>
  <commentList>
    <comment ref="C4" authorId="0" guid="{8A7C7F2B-35A4-4911-B16D-A8B8F9407F05}">
      <text>
        <r>
          <rPr>
            <b/>
            <sz val="9"/>
            <color indexed="81"/>
            <rFont val="Tahoma"/>
            <family val="2"/>
          </rPr>
          <t>Diana:</t>
        </r>
        <r>
          <rPr>
            <sz val="9"/>
            <color indexed="81"/>
            <rFont val="Tahoma"/>
            <family val="2"/>
          </rPr>
          <t xml:space="preserve">
ACTUALIZAR
</t>
        </r>
      </text>
    </comment>
  </commentList>
</comments>
</file>

<file path=xl/sharedStrings.xml><?xml version="1.0" encoding="utf-8"?>
<sst xmlns="http://schemas.openxmlformats.org/spreadsheetml/2006/main" count="792" uniqueCount="276">
  <si>
    <t>DEPARTAMENTO DE INFRAESTRUCTURA</t>
  </si>
  <si>
    <t>NO.</t>
  </si>
  <si>
    <t>UBICACIÓN EN EL ESTADO</t>
  </si>
  <si>
    <t>CLAVE DE PLANTEL O GRUPO</t>
  </si>
  <si>
    <t xml:space="preserve">NOMBRE </t>
  </si>
  <si>
    <t>REGIMEN</t>
  </si>
  <si>
    <t>NOMBRE DE MODULO</t>
  </si>
  <si>
    <t>NO. NIV./  AULA TIPO</t>
  </si>
  <si>
    <t>TIPOLOGIA DE CONSTRUCCION</t>
  </si>
  <si>
    <t>SUPERFICIE      (M2)</t>
  </si>
  <si>
    <t>COSTO                   POR M2</t>
  </si>
  <si>
    <t>VALOR REAL DEL INMUEBLE</t>
  </si>
  <si>
    <t>VALOR REAL POR PLANTEL O GRUPO</t>
  </si>
  <si>
    <t>MEXICALI</t>
  </si>
  <si>
    <t>NO APLICA</t>
  </si>
  <si>
    <t>Dirección General</t>
  </si>
  <si>
    <t>ADMVO.</t>
  </si>
  <si>
    <t>EDIFICIO P.ALEMAN</t>
  </si>
  <si>
    <t>BLOCK Y CONCRETO</t>
  </si>
  <si>
    <t>CENTRO COMUN.</t>
  </si>
  <si>
    <t>BLOCK E INSULPANEL</t>
  </si>
  <si>
    <t>AULA MOVIL</t>
  </si>
  <si>
    <t>24x60</t>
  </si>
  <si>
    <t>EST. ACERO Y MADERA</t>
  </si>
  <si>
    <t>02ETC0002C</t>
  </si>
  <si>
    <t>Xochimilco</t>
  </si>
  <si>
    <t>PLANTEL</t>
  </si>
  <si>
    <t>U2C</t>
  </si>
  <si>
    <t>MODULO ADMVO.</t>
  </si>
  <si>
    <t>TALLER DE MANTO.</t>
  </si>
  <si>
    <t>BLOCK Y ACERO</t>
  </si>
  <si>
    <t>AULAS LIGERAS</t>
  </si>
  <si>
    <t>TRIDIPANEL E INSULPANEL</t>
  </si>
  <si>
    <t>MODULO INJUVEN</t>
  </si>
  <si>
    <t>02ETC0026M</t>
  </si>
  <si>
    <t>GRUPO</t>
  </si>
  <si>
    <t>24x40</t>
  </si>
  <si>
    <t>02ETC0007Y</t>
  </si>
  <si>
    <t>Compuertas</t>
  </si>
  <si>
    <t>02ETC0018D</t>
  </si>
  <si>
    <t>Bella Vista</t>
  </si>
  <si>
    <t xml:space="preserve">EDIFICIO 1 </t>
  </si>
  <si>
    <t>EDIFICIO 2</t>
  </si>
  <si>
    <t>TALLERES(ALMACENES)</t>
  </si>
  <si>
    <t>LAMINA Y ACERO</t>
  </si>
  <si>
    <t>LABORAT. EINST.(44%)</t>
  </si>
  <si>
    <t>EDIFICIO 3</t>
  </si>
  <si>
    <t>02ETC0022Q</t>
  </si>
  <si>
    <t>Los Pinos</t>
  </si>
  <si>
    <t xml:space="preserve">PLANTEL </t>
  </si>
  <si>
    <t>EDIFICIO H</t>
  </si>
  <si>
    <t>EDIFICIO B1</t>
  </si>
  <si>
    <t>EDIFICIO C1</t>
  </si>
  <si>
    <t>EDIFICIO D</t>
  </si>
  <si>
    <t>EDIFICIO E</t>
  </si>
  <si>
    <t>02ETC0008X</t>
  </si>
  <si>
    <t>Misiones</t>
  </si>
  <si>
    <t>MODULO B</t>
  </si>
  <si>
    <t>MODULO C</t>
  </si>
  <si>
    <t>02ETC0023P</t>
  </si>
  <si>
    <t>AULA MÓVIL</t>
  </si>
  <si>
    <t>12x62</t>
  </si>
  <si>
    <t>10x52</t>
  </si>
  <si>
    <t>10x24</t>
  </si>
  <si>
    <t>AULA INTEGRAL</t>
  </si>
  <si>
    <t>6.18x29.30</t>
  </si>
  <si>
    <t>EST. ACERO Y PVC</t>
  </si>
  <si>
    <t>02ETC0024O</t>
  </si>
  <si>
    <t>* Centenario</t>
  </si>
  <si>
    <t>16x45</t>
  </si>
  <si>
    <t>20x45</t>
  </si>
  <si>
    <t>20x52</t>
  </si>
  <si>
    <t>02ETC0011K</t>
  </si>
  <si>
    <t>San Felipe</t>
  </si>
  <si>
    <t xml:space="preserve">AULA MÓVIL </t>
  </si>
  <si>
    <t>20x50</t>
  </si>
  <si>
    <t>20x60</t>
  </si>
  <si>
    <t>23x58</t>
  </si>
  <si>
    <t>AULA MOVIL(BAÑOS)</t>
  </si>
  <si>
    <t>8x24</t>
  </si>
  <si>
    <t>02ETC0010L</t>
  </si>
  <si>
    <t>Vicente Guerrero</t>
  </si>
  <si>
    <t>AULA LIGERA</t>
  </si>
  <si>
    <t>* Ej. Hermosillo</t>
  </si>
  <si>
    <t>-</t>
  </si>
  <si>
    <t>* Ej. Michoacán de Ocampo</t>
  </si>
  <si>
    <t>12x40</t>
  </si>
  <si>
    <t>* Ej. Oviedo Mota</t>
  </si>
  <si>
    <t>02ETC0027L</t>
  </si>
  <si>
    <t>Ej. Gpe. Victoria (Km 43)</t>
  </si>
  <si>
    <t>TIJUANA</t>
  </si>
  <si>
    <t>02ETC0003B</t>
  </si>
  <si>
    <t>El Florido</t>
  </si>
  <si>
    <t>EDIFICIO D(U2C)</t>
  </si>
  <si>
    <t>EDIFICIO E(U2C)</t>
  </si>
  <si>
    <t>ALMACEN/BAÑOS</t>
  </si>
  <si>
    <t>GALVANIZADO Y TABLAR.</t>
  </si>
  <si>
    <t>02ETC0001D</t>
  </si>
  <si>
    <t>El Pacífico</t>
  </si>
  <si>
    <t>* Lázaro Cárdenas</t>
  </si>
  <si>
    <t>24X60</t>
  </si>
  <si>
    <t>02ETC0005Z</t>
  </si>
  <si>
    <t>Villa del Sol</t>
  </si>
  <si>
    <t>DIRECCION/BAÑOS</t>
  </si>
  <si>
    <t>AULA GALACTICA</t>
  </si>
  <si>
    <t>02ETC0006Z</t>
  </si>
  <si>
    <t>Zona Río</t>
  </si>
  <si>
    <t>* Urbivilla</t>
  </si>
  <si>
    <t>EDIFICIO (PRESTAMO)</t>
  </si>
  <si>
    <t>02ETC0009W</t>
  </si>
  <si>
    <t>El Niño</t>
  </si>
  <si>
    <t>24x36</t>
  </si>
  <si>
    <t>02ETC0019C</t>
  </si>
  <si>
    <t>Altiplano</t>
  </si>
  <si>
    <t>02ETC0017E</t>
  </si>
  <si>
    <t>Las Águilas</t>
  </si>
  <si>
    <t>EST. GALV. Y MADERA</t>
  </si>
  <si>
    <t>BAÑOS</t>
  </si>
  <si>
    <t>MADERA Y LAMINA</t>
  </si>
  <si>
    <t>02ETC0015G</t>
  </si>
  <si>
    <t xml:space="preserve">Cachanilla </t>
  </si>
  <si>
    <t>02ETC0020S</t>
  </si>
  <si>
    <t>La Presa</t>
  </si>
  <si>
    <t>ENSENADA</t>
  </si>
  <si>
    <t>02ETC0004A</t>
  </si>
  <si>
    <t>Ensenada</t>
  </si>
  <si>
    <t>MODULO U2C</t>
  </si>
  <si>
    <t>AULA LIGERA(ADMVO.)</t>
  </si>
  <si>
    <t>* La Misión</t>
  </si>
  <si>
    <t>* Eréndira</t>
  </si>
  <si>
    <t>* San Antonio de las Minas</t>
  </si>
  <si>
    <t>02ETC0014H</t>
  </si>
  <si>
    <t>San Quintín</t>
  </si>
  <si>
    <t>20x26</t>
  </si>
  <si>
    <t>24X50</t>
  </si>
  <si>
    <t>* Punta Colonet (Díaz Ordáz)</t>
  </si>
  <si>
    <t>MÓVIL BAÑOS</t>
  </si>
  <si>
    <t>* Villa Jésus María</t>
  </si>
  <si>
    <t>* Bahía de los Angeles</t>
  </si>
  <si>
    <t>ROSARITO</t>
  </si>
  <si>
    <t>02ETC0012J</t>
  </si>
  <si>
    <t>Rosarito</t>
  </si>
  <si>
    <t>02ETC0016F</t>
  </si>
  <si>
    <t>Primo Tapia</t>
  </si>
  <si>
    <t>12x48</t>
  </si>
  <si>
    <t>12x36</t>
  </si>
  <si>
    <t>TECATE</t>
  </si>
  <si>
    <t>02ETC0013I</t>
  </si>
  <si>
    <t>* La Rumorosa</t>
  </si>
  <si>
    <t>EN COMODATO</t>
  </si>
  <si>
    <t>* Ej. Nueva Hindú</t>
  </si>
  <si>
    <t>MADERA</t>
  </si>
  <si>
    <t>SUMA TOTAL=</t>
  </si>
  <si>
    <t>SIMBOLOGIA</t>
  </si>
  <si>
    <t>nombre?</t>
  </si>
  <si>
    <t>INDICA PLANTEL</t>
  </si>
  <si>
    <t>INDICA GRUPO</t>
  </si>
  <si>
    <t>EDIFICIO NO PERTENECIENTE A LOS INMUEBLES DE LA INSTITUCIÓN</t>
  </si>
  <si>
    <t>INDICA TOTAL POR PLANTEL O GRUPO</t>
  </si>
  <si>
    <t>AULA DE CONCRETO</t>
  </si>
  <si>
    <t>BLOCK Y MADERA</t>
  </si>
  <si>
    <t>Los Portales</t>
  </si>
  <si>
    <t>*Maclovio Rojas</t>
  </si>
  <si>
    <t>Ej. Puebla</t>
  </si>
  <si>
    <t>MODULO A</t>
  </si>
  <si>
    <t>EDIFICIO D (U2C)</t>
  </si>
  <si>
    <t>EST. ACERO Y TABLAROCA</t>
  </si>
  <si>
    <t xml:space="preserve">MODULO C </t>
  </si>
  <si>
    <t>TALLER 1RA ETAPA</t>
  </si>
  <si>
    <t>12x60</t>
  </si>
  <si>
    <t>24x78</t>
  </si>
  <si>
    <t xml:space="preserve">MÓDULO DE BAÑOS </t>
  </si>
  <si>
    <t>MODULO B (2DO)</t>
  </si>
  <si>
    <t>EDIFICIO (YA ASIGNADO)</t>
  </si>
  <si>
    <t>PROLONGACIÓN RIO MAYO #501  ESQ. CON  LUIS MORA COL. PRO-HOGAR C.P. 21240</t>
  </si>
  <si>
    <t>CALZ. CONTINENTE EUROPEO Y CALLE ARROYO CALAMAJUE #601 FRACC. VALLE DE LAS MISIONES C.P. 21138</t>
  </si>
  <si>
    <t>AV. FUENTE DEL SOL S/N ENTRE LAS CALLES IMAGEN Y FUENTE DE LOS DESEOS FRACC. CASA DIGNA C.P. 213293</t>
  </si>
  <si>
    <t>AV. PRADO DEL REY S/N ENTRE CALLE CAVANDI Y CALLE MIRABUENO  FRACC. VILLAS LOMAS ALTAS C.P. 21355</t>
  </si>
  <si>
    <t>DIRECCIÓN</t>
  </si>
  <si>
    <t>AV. DE LA TIERRA Y AV. DEL BANANO S/N , FRACCIONAMIENTO AMPLIACIÓN VALLE NUEVO, EJ. GUADALUPE VICTORIA C.P. 21720</t>
  </si>
  <si>
    <t>CONCRETO y TABIQUE</t>
  </si>
  <si>
    <t>CONCRETO, BLOCK E INSULPANEL</t>
  </si>
  <si>
    <t>AV. PANAMÁ #199 ESQ. CON BUENOS AIRES. COL. CUAUHTÉMOC SUR C.P. 21200
MEXICALI B.C.</t>
  </si>
  <si>
    <t>CALZADA LAGUNA XOCHIMILCO # 1098 Y BLVD. LOMBARDO TOLEDANO, DESARROLLO URBANO XOCHIMILCO C.P. 21380
MEXICALI B.C.</t>
  </si>
  <si>
    <t>AV. AMIXTLAN S/N Y CALLE RIO XOLOTLA VALLE DEL PUEBLA SEXTA SECCIÓN
MEXICALI B.C.</t>
  </si>
  <si>
    <t>AV. CLARIDAD 3699 FRACC. NUEVO AMANECER CP. 21378
MEXICALI B.C.</t>
  </si>
  <si>
    <t xml:space="preserve"> NO.1 AV. DE LA PAZ #715 ENTRE NOGALES Y CALLE SALTO COL. BELLA VISTA
MEXICALI B.C.</t>
  </si>
  <si>
    <t>AV. BATAQUEZ #1117  COL. GENERAL FRANCISCO VILLA C.P. 21850, POBLADO SAN FELIPE, MEXICALI B.C.</t>
  </si>
  <si>
    <t>AV. VALLE DEL SALADO #1075 FRACC. DEL VALLE  C.P. 21970 POBLADO VICENTE GUERRERO, MUN. MEXICALI B.C.</t>
  </si>
  <si>
    <t>Av. Emiliano Zapata No.114 entre Lázaro Cárdenas y Baja California, Poblado Ejido Hermosillo, Mexicali B.C.</t>
  </si>
  <si>
    <t>PORCIÓN DE LA PARCELA ESCOLAR NO.92 (COLINDA CON LA CARRETERA ESTATAL Y PARCELA NO.91), Ejido Michoacán de Ocampo, Mexicali B.C.</t>
  </si>
  <si>
    <t>BLVD. EL REFUGIO #24703 Y NECTARINA FRACC. CERRO LAS ABEJAS C.P. 22245, TIJUANA B.C.</t>
  </si>
  <si>
    <t>AV. REPÚBLICA DE COLOMBIA #42 FRACC. ALFA PANAMERICANO C.P. 22647
TIJUANA B.C.</t>
  </si>
  <si>
    <t>AV. EMILIANO ZAPATA PARCELA 119 EJIDO LÁZARO CÁRDENAS C.P. 22654
TIJUANA B.C.</t>
  </si>
  <si>
    <t>PRIVADA PASEO DEL SOL #23772 FRACC. VILLAS DEL SOL 5TA ETAPA C.P. 22205
TIJUANA B.C.</t>
  </si>
  <si>
    <t>PASEO DEL RIO #6652 DESARROLLO URBANO RÍO TIJUANA  3RA. ETAPA C.P. 2222
TIJUANA  B.C.</t>
  </si>
  <si>
    <t>PASEO DE LOS VOLCANES #12362 FRACC. URBI VILLA DEL PRADO 2DA. SECCIÓN C.P. 22170
TIJUANA B.C.</t>
  </si>
  <si>
    <t>CALLE HEROICO CUERPO DE BOMBEROS DE TIJUANA #5525 COL. EL NIÑO  C.P. 22330
TIJUANA B.C.</t>
  </si>
  <si>
    <t>CALLE ECOLOGISTA S/N, COL. ALTIPLANO C.P. 22204
TIJUANA B.C.</t>
  </si>
  <si>
    <t>PRIVADA CACHANILLA #8121 FRACC. INFONAVIT CACHANILLAS C.P.22647
TIJUANA B.C.</t>
  </si>
  <si>
    <t>CALLE DE LAS PIÑITAS #11322 FRACC. LOMAS DE LA PRESA DELEGACIÓN DE LA PRESA C.P. 22125
TIJUANA B.C.</t>
  </si>
  <si>
    <t>EJE HIGUERAS Y GOLFO DE SANTA CLARA S/N  FRAC. POPULAR 89 C.P. 22810
ENSENADA  B.C.</t>
  </si>
  <si>
    <t>CARRETERA LIBRE ENSENADA KM 6 Y CALLE EMILIANO ZAPATA S/N,  EJIDO LA MISIÓN, ENSENADA B.C.</t>
  </si>
  <si>
    <t>CALLE 13 DE DICIEMBRE PARCELA ESCOLAR JUNTO A ESCUELA SECUNDARIA #38 DELEGACIÓN EJIDO ERÉNDIRA, ENSENADA B.C.</t>
  </si>
  <si>
    <t>CALLE DEL BOLEO GUERRERO NEGRO S/N, FRACC. LA FORTUNA, C.P. 22766, POBLADO SAN ANTONIO DE LAS MINAS, MUN.
ENSENADA B.C.</t>
  </si>
  <si>
    <t>CALLE EMILIANO ZAPATA S/N EJIDO NUEVO BAJA CALIFORNIA C.P. 22430, POBLADO SAN QUINTIN, MUN. ENSENADA B.C.</t>
  </si>
  <si>
    <t xml:space="preserve">TELESECUNDARIA # 45 CARRETERA TRANSPENINSULAR KM. 39 EJIDO DÍAZ ORDAZ C.P. 22914
MUN. ENSENADA B.C.
</t>
  </si>
  <si>
    <t>AV. ADOLFO RUIZ CORTINES S/N, CALLE HÉCTOR MONTENEGRO ESPINOZA C.P. 22991, POBLADO VILLA J. MARÍA, MUN. ENSENADA B.C.</t>
  </si>
  <si>
    <t>CALLE AEROPUERTO S/N, CARRETERA LA GRINGA C.P 22980 POB. BAHÍA DE LOS ÁNGELES, ENSENADA B.C.</t>
  </si>
  <si>
    <t>CALLE OCÉANO INDICO Y MAR ADRIÁTICO #1302 FRACC. COLINAS DE MAZATLÁN, DELEGACIÓN PLAN LIBERTADOR, PLAYAS DE ROSARITO B.C.</t>
  </si>
  <si>
    <t>CALLE RAYMUNDO MORA LARA S/N,  FRACC. VILLAS MARGARITAS, EJIDO PRIMO TAPIA C.P. 22710, PLAYAS DE ROSARITO B.C.</t>
  </si>
  <si>
    <t>CARRETERA TECATE-TIJUANA KM 140 COL PASO DEL ÁGUILA C.P. 21430
TECATE B.C.</t>
  </si>
  <si>
    <t>CALLE TERCERA Y CARRETERA PRINCIPAL S/N POBLADO LA RUMOROSA C.P. 21510
TECATE B.C.</t>
  </si>
  <si>
    <t>CALLE JALISCO LOTE 30 MANZANA 5 COL NUEVA HINDÚ, SECC.  CAFETALERA
TECATE B.C.</t>
  </si>
  <si>
    <t>AVENIDA LÁZARO CÁRDENAS Y CALLE FRANCISCO MUJICA S/N, C.P. 21730
POBLADO OVIEDO MOTA, MUN. MEXICALI B.C.</t>
  </si>
  <si>
    <t>CALLE "E" S/N FRACC.GRANGAS FAMILIARES DIVISIÓN DEL NORTE C.P. 22476
TIJUANA B.C.</t>
  </si>
  <si>
    <t>Dirección General zona COSTA</t>
  </si>
  <si>
    <t>DG ZONA COSTA</t>
  </si>
  <si>
    <t xml:space="preserve"> </t>
  </si>
  <si>
    <t>AULA INTEGRAL GMI</t>
  </si>
  <si>
    <t>* Zorrillo</t>
  </si>
  <si>
    <t>Tecate (Paso del Aguila)</t>
  </si>
  <si>
    <t>CALLE SAN JAVIER S/N COL. LOMAS DE MENDOZA, ENTRE CALLES PRIV. SAN JOSE Y AV. TODOS SANTOS, ENSENADA, B.C.</t>
  </si>
  <si>
    <t>20x40</t>
  </si>
  <si>
    <t>|</t>
  </si>
  <si>
    <t xml:space="preserve">RESUMEN DE VALORES FISICOS DE EDIFICACIONES DE CECYTEBC </t>
  </si>
  <si>
    <t>02ETC0021R</t>
  </si>
  <si>
    <t>Playas de Tijuana (SANTA FE)</t>
  </si>
  <si>
    <t>CAFETERÍA</t>
  </si>
  <si>
    <t xml:space="preserve">MÓD. ADMINISTRATIVO </t>
  </si>
  <si>
    <t>AV. PASEO CORONADOS #5452 ENTRE AVENIDA SAN REMO Y SAN MARINO C.P. 22170, COL. EL ROSARIO</t>
  </si>
  <si>
    <t>AÑO DE ENTREGA</t>
  </si>
  <si>
    <t>Aprox 1955</t>
  </si>
  <si>
    <t>Edif. 2000
Amp. 2018</t>
  </si>
  <si>
    <t>Aprox. 1970</t>
  </si>
  <si>
    <t>Aprox. 1980</t>
  </si>
  <si>
    <t>DESCONOCIDO</t>
  </si>
  <si>
    <t>N/A</t>
  </si>
  <si>
    <t>TALLER DE MANTO. 1 etapa</t>
  </si>
  <si>
    <t>02ETC0028K</t>
  </si>
  <si>
    <t>02ETC0025N</t>
  </si>
  <si>
    <t>* COBERTURAS</t>
  </si>
  <si>
    <t xml:space="preserve">EDIFICIO </t>
  </si>
  <si>
    <t xml:space="preserve">CONTENIDOS </t>
  </si>
  <si>
    <t xml:space="preserve">R.C. </t>
  </si>
  <si>
    <t xml:space="preserve">ROBO </t>
  </si>
  <si>
    <t>L.U.C.</t>
  </si>
  <si>
    <t>Anexo 1</t>
  </si>
  <si>
    <t>ESPECIFICACIONES TECNICAS DEL SEGURO DE EDIFICIOS DEL CECYTEBC</t>
  </si>
  <si>
    <t>PERÍODO DE COBERTURA</t>
  </si>
  <si>
    <t>COBERTURAS</t>
  </si>
  <si>
    <t>SUMAS ASEGURADAS</t>
  </si>
  <si>
    <t>DEDUCIBLES</t>
  </si>
  <si>
    <t>I</t>
  </si>
  <si>
    <t>Edificio</t>
  </si>
  <si>
    <t>Valor de reposicion</t>
  </si>
  <si>
    <t>Basica</t>
  </si>
  <si>
    <t>Sin deducible</t>
  </si>
  <si>
    <t>Todo Riesgo</t>
  </si>
  <si>
    <t>Fenomenos Hidrometeorologicos</t>
  </si>
  <si>
    <t>1% sobre suma asegurada, aplica coaseguro 10% en toda reclamacion</t>
  </si>
  <si>
    <t>Terremoto</t>
  </si>
  <si>
    <t>2% de la S.A. aplica un coaseguro del 10% en toda y cada perdida</t>
  </si>
  <si>
    <t>Remocion de escombros 10%</t>
  </si>
  <si>
    <t>II</t>
  </si>
  <si>
    <t>Contenidos</t>
  </si>
  <si>
    <t>III</t>
  </si>
  <si>
    <t>Resp. Civil (act. E inmuebles)</t>
  </si>
  <si>
    <t>IV</t>
  </si>
  <si>
    <t>Robo con violencia de mercancia L.U.C</t>
  </si>
  <si>
    <t>1% sobre suma asegurada, maximo 750 UMAS, no aplica coaseguro</t>
  </si>
  <si>
    <t>10% de cada reclamacion con minimo de 100 UMAS</t>
  </si>
  <si>
    <t>10% sobre la perdida con minimo del 80 UMAS</t>
  </si>
  <si>
    <t>FORMA DE PAGO</t>
  </si>
  <si>
    <t>A  PARTIR DE LAS 12:00 HORAS DEL DIA 16 DE JUNIO DEL 2021 HASTA LAS 12:00 HORAS DEL 16 DE 16 JUNIO 2022</t>
  </si>
  <si>
    <t>EL 50% DEL CONTRATO A LOS 30 DIAS DEL INICIO DE LA VIGENCIA TODA VEZ QUE SEA ENVIADA LA POLIZA Y LA FACTURA Y EL OTRO 50 % A LOS CINCO MESES  DESPUES DEL PRIMER PAGO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</si>
</sst>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2" tint="-0.749992370372631"/>
      <name val="Arial Black"/>
      <family val="2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3"/>
      <name val="Calibri"/>
      <family val="2"/>
      <scheme val="minor"/>
    </font>
    <font>
      <b/>
      <sz val="10"/>
      <name val="Century Gothic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3"/>
      <name val="Calibri"/>
      <family val="2"/>
      <scheme val="minor"/>
    </font>
    <font>
      <b/>
      <sz val="10"/>
      <color theme="1"/>
      <name val="Century Gothic"/>
      <family val="2"/>
    </font>
    <font>
      <sz val="11"/>
      <color theme="3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79">
    <xf numFmtId="0" fontId="0" fillId="0" borderId="0" xfId="0"/>
    <xf numFmtId="43" fontId="0" fillId="3" borderId="3" xfId="1" applyFont="1" applyFill="1" applyBorder="1" applyAlignment="1" applyProtection="1">
      <alignment horizontal="center" vertical="center" wrapText="1"/>
    </xf>
    <xf numFmtId="43" fontId="0" fillId="0" borderId="3" xfId="1" applyFont="1" applyBorder="1" applyAlignment="1" applyProtection="1">
      <alignment horizontal="center" vertical="center" wrapText="1"/>
    </xf>
    <xf numFmtId="43" fontId="0" fillId="0" borderId="6" xfId="1" applyFont="1" applyBorder="1" applyAlignment="1" applyProtection="1">
      <alignment horizontal="center" vertical="center" wrapText="1"/>
    </xf>
    <xf numFmtId="43" fontId="0" fillId="0" borderId="4" xfId="1" applyFont="1" applyBorder="1" applyAlignment="1" applyProtection="1">
      <alignment horizontal="center" vertical="center" wrapText="1"/>
    </xf>
    <xf numFmtId="43" fontId="0" fillId="3" borderId="9" xfId="1" applyFont="1" applyFill="1" applyBorder="1" applyAlignment="1" applyProtection="1">
      <alignment horizontal="center" vertical="center" wrapText="1"/>
    </xf>
    <xf numFmtId="43" fontId="0" fillId="3" borderId="5" xfId="1" applyFont="1" applyFill="1" applyBorder="1" applyAlignment="1" applyProtection="1">
      <alignment horizontal="center" vertical="center" wrapText="1"/>
    </xf>
    <xf numFmtId="43" fontId="0" fillId="0" borderId="3" xfId="1" applyFont="1" applyFill="1" applyBorder="1" applyAlignment="1" applyProtection="1">
      <alignment horizontal="center" vertical="center" wrapText="1"/>
    </xf>
    <xf numFmtId="43" fontId="0" fillId="0" borderId="3" xfId="1" applyFont="1" applyBorder="1" applyAlignment="1" applyProtection="1">
      <alignment horizontal="center" wrapText="1"/>
    </xf>
    <xf numFmtId="43" fontId="0" fillId="0" borderId="4" xfId="1" applyFont="1" applyBorder="1" applyAlignment="1" applyProtection="1">
      <alignment horizontal="center" wrapText="1"/>
    </xf>
    <xf numFmtId="43" fontId="0" fillId="3" borderId="5" xfId="1" applyFont="1" applyFill="1" applyBorder="1" applyAlignment="1" applyProtection="1">
      <alignment horizontal="center"/>
    </xf>
    <xf numFmtId="43" fontId="0" fillId="0" borderId="5" xfId="1" applyFont="1" applyFill="1" applyBorder="1" applyAlignment="1" applyProtection="1">
      <alignment horizontal="center"/>
    </xf>
    <xf numFmtId="43" fontId="0" fillId="0" borderId="4" xfId="1" applyFont="1" applyBorder="1" applyAlignment="1" applyProtection="1">
      <alignment horizontal="center"/>
    </xf>
    <xf numFmtId="43" fontId="0" fillId="0" borderId="3" xfId="1" applyFont="1" applyFill="1" applyBorder="1" applyAlignment="1" applyProtection="1">
      <alignment horizontal="center"/>
    </xf>
    <xf numFmtId="43" fontId="0" fillId="0" borderId="4" xfId="1" applyFont="1" applyFill="1" applyBorder="1" applyAlignment="1" applyProtection="1">
      <alignment horizontal="center"/>
    </xf>
    <xf numFmtId="43" fontId="0" fillId="0" borderId="5" xfId="1" applyFont="1" applyBorder="1" applyAlignment="1" applyProtection="1">
      <alignment horizontal="center"/>
    </xf>
    <xf numFmtId="43" fontId="0" fillId="0" borderId="3" xfId="1" applyFont="1" applyBorder="1" applyAlignment="1" applyProtection="1">
      <alignment horizontal="center"/>
    </xf>
    <xf numFmtId="43" fontId="0" fillId="0" borderId="4" xfId="1" applyFont="1" applyFill="1" applyBorder="1" applyAlignment="1" applyProtection="1">
      <alignment horizontal="center" wrapText="1"/>
    </xf>
    <xf numFmtId="43" fontId="0" fillId="0" borderId="6" xfId="1" applyFont="1" applyBorder="1" applyAlignment="1" applyProtection="1">
      <alignment horizontal="center"/>
    </xf>
    <xf numFmtId="43" fontId="0" fillId="0" borderId="10" xfId="1" applyFont="1" applyFill="1" applyBorder="1" applyAlignment="1" applyProtection="1">
      <alignment horizontal="center"/>
    </xf>
    <xf numFmtId="43" fontId="0" fillId="0" borderId="6" xfId="1" applyFont="1" applyFill="1" applyBorder="1" applyAlignment="1" applyProtection="1">
      <alignment horizontal="center"/>
    </xf>
    <xf numFmtId="43" fontId="0" fillId="0" borderId="3" xfId="1" applyFont="1" applyFill="1" applyBorder="1" applyAlignment="1" applyProtection="1">
      <alignment horizontal="center" vertical="center"/>
    </xf>
    <xf numFmtId="43" fontId="0" fillId="7" borderId="9" xfId="1" applyFont="1" applyFill="1" applyBorder="1" applyAlignment="1" applyProtection="1">
      <alignment horizontal="center"/>
    </xf>
    <xf numFmtId="43" fontId="0" fillId="0" borderId="9" xfId="1" applyFont="1" applyBorder="1" applyAlignment="1" applyProtection="1">
      <alignment horizontal="center" vertical="center" wrapText="1"/>
    </xf>
    <xf numFmtId="43" fontId="0" fillId="5" borderId="5" xfId="1" applyFont="1" applyFill="1" applyBorder="1" applyAlignment="1" applyProtection="1">
      <alignment horizontal="center"/>
    </xf>
    <xf numFmtId="43" fontId="0" fillId="7" borderId="3" xfId="1" applyFont="1" applyFill="1" applyBorder="1" applyAlignment="1" applyProtection="1">
      <alignment horizontal="center"/>
    </xf>
    <xf numFmtId="43" fontId="0" fillId="0" borderId="7" xfId="1" applyFont="1" applyFill="1" applyBorder="1" applyAlignment="1" applyProtection="1">
      <alignment horizontal="center" vertical="center" wrapText="1"/>
    </xf>
    <xf numFmtId="43" fontId="0" fillId="0" borderId="7" xfId="1" applyFont="1" applyFill="1" applyBorder="1" applyAlignment="1" applyProtection="1">
      <alignment horizontal="center" vertical="center"/>
    </xf>
    <xf numFmtId="43" fontId="0" fillId="0" borderId="5" xfId="1" applyFont="1" applyBorder="1" applyAlignment="1" applyProtection="1">
      <alignment horizontal="center" vertical="center"/>
    </xf>
    <xf numFmtId="43" fontId="21" fillId="0" borderId="9" xfId="1" applyFont="1" applyFill="1" applyBorder="1" applyAlignment="1" applyProtection="1">
      <alignment horizontal="center"/>
    </xf>
    <xf numFmtId="43" fontId="0" fillId="0" borderId="10" xfId="1" applyFont="1" applyBorder="1" applyAlignment="1" applyProtection="1">
      <alignment horizontal="center" vertical="center"/>
    </xf>
    <xf numFmtId="43" fontId="0" fillId="0" borderId="4" xfId="1" applyFont="1" applyFill="1" applyBorder="1" applyAlignment="1" applyProtection="1">
      <alignment horizontal="center" vertical="center"/>
    </xf>
    <xf numFmtId="43" fontId="0" fillId="7" borderId="9" xfId="1" applyFont="1" applyFill="1" applyBorder="1" applyAlignment="1" applyProtection="1">
      <alignment horizontal="center" vertical="center"/>
    </xf>
    <xf numFmtId="43" fontId="0" fillId="0" borderId="11" xfId="1" applyFont="1" applyFill="1" applyBorder="1" applyAlignment="1" applyProtection="1">
      <alignment horizontal="center"/>
    </xf>
    <xf numFmtId="43" fontId="0" fillId="0" borderId="6" xfId="1" applyFont="1" applyFill="1" applyBorder="1" applyAlignment="1" applyProtection="1">
      <alignment horizontal="center" vertical="center"/>
    </xf>
    <xf numFmtId="43" fontId="0" fillId="0" borderId="6" xfId="1" applyFont="1" applyFill="1" applyBorder="1" applyAlignment="1" applyProtection="1">
      <alignment horizontal="center" vertical="center" wrapText="1"/>
    </xf>
    <xf numFmtId="43" fontId="0" fillId="0" borderId="4" xfId="1" applyFont="1" applyFill="1" applyBorder="1" applyAlignment="1" applyProtection="1">
      <alignment horizontal="center" vertical="center" wrapText="1"/>
    </xf>
    <xf numFmtId="43" fontId="21" fillId="0" borderId="3" xfId="1" applyFont="1" applyFill="1" applyBorder="1" applyAlignment="1" applyProtection="1">
      <alignment horizontal="center"/>
    </xf>
    <xf numFmtId="43" fontId="0" fillId="0" borderId="11" xfId="1" applyFont="1" applyBorder="1" applyAlignment="1" applyProtection="1">
      <alignment horizontal="center" vertical="center"/>
    </xf>
    <xf numFmtId="0" fontId="5" fillId="0" borderId="0" xfId="0" applyFont="1" applyProtection="1">
      <protection locked="0"/>
    </xf>
    <xf numFmtId="0" fontId="7" fillId="0" borderId="0" xfId="0" applyFont="1" applyAlignment="1" applyProtection="1">
      <alignment horizontal="center" vertical="center"/>
      <protection locked="0"/>
    </xf>
    <xf numFmtId="44" fontId="5" fillId="0" borderId="0" xfId="2" applyFont="1" applyProtection="1">
      <protection locked="0"/>
    </xf>
    <xf numFmtId="0" fontId="5" fillId="0" borderId="0" xfId="0" applyFont="1" applyFill="1" applyProtection="1"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44" fontId="0" fillId="0" borderId="0" xfId="2" applyFont="1" applyProtection="1">
      <protection locked="0"/>
    </xf>
    <xf numFmtId="0" fontId="0" fillId="0" borderId="0" xfId="0" applyFont="1" applyFill="1" applyProtection="1">
      <protection locked="0"/>
    </xf>
    <xf numFmtId="0" fontId="0" fillId="0" borderId="0" xfId="0" applyFont="1" applyProtection="1"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 vertical="center" wrapText="1"/>
      <protection locked="0"/>
    </xf>
    <xf numFmtId="43" fontId="3" fillId="2" borderId="2" xfId="1" applyFont="1" applyFill="1" applyBorder="1" applyAlignment="1" applyProtection="1">
      <alignment horizontal="center" vertical="center" wrapText="1"/>
      <protection locked="0"/>
    </xf>
    <xf numFmtId="44" fontId="3" fillId="2" borderId="2" xfId="2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 vertical="top"/>
      <protection locked="0"/>
    </xf>
    <xf numFmtId="15" fontId="0" fillId="0" borderId="0" xfId="0" applyNumberFormat="1" applyBorder="1" applyAlignment="1" applyProtection="1">
      <alignment horizontal="center"/>
      <protection locked="0"/>
    </xf>
    <xf numFmtId="43" fontId="0" fillId="0" borderId="0" xfId="1" applyFont="1" applyBorder="1" applyAlignment="1" applyProtection="1">
      <alignment horizontal="center"/>
      <protection locked="0"/>
    </xf>
    <xf numFmtId="44" fontId="0" fillId="0" borderId="0" xfId="2" applyFont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0" borderId="0" xfId="0" applyBorder="1" applyProtection="1">
      <protection locked="0"/>
    </xf>
    <xf numFmtId="1" fontId="11" fillId="3" borderId="3" xfId="0" applyNumberFormat="1" applyFont="1" applyFill="1" applyBorder="1" applyAlignment="1" applyProtection="1">
      <alignment horizontal="center" vertical="center"/>
      <protection locked="0"/>
    </xf>
    <xf numFmtId="49" fontId="10" fillId="3" borderId="3" xfId="1" applyNumberFormat="1" applyFont="1" applyFill="1" applyBorder="1" applyAlignment="1" applyProtection="1">
      <alignment horizontal="center" vertical="center"/>
      <protection locked="0"/>
    </xf>
    <xf numFmtId="49" fontId="12" fillId="3" borderId="3" xfId="0" applyNumberFormat="1" applyFont="1" applyFill="1" applyBorder="1" applyAlignment="1" applyProtection="1">
      <alignment horizontal="center"/>
      <protection locked="0"/>
    </xf>
    <xf numFmtId="0" fontId="13" fillId="3" borderId="3" xfId="0" applyFont="1" applyFill="1" applyBorder="1" applyAlignment="1" applyProtection="1">
      <alignment horizontal="left" indent="1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/>
      <protection locked="0"/>
    </xf>
    <xf numFmtId="15" fontId="0" fillId="3" borderId="3" xfId="0" applyNumberFormat="1" applyFill="1" applyBorder="1" applyAlignment="1" applyProtection="1">
      <alignment horizontal="center" vertical="center" wrapText="1"/>
      <protection locked="0"/>
    </xf>
    <xf numFmtId="44" fontId="0" fillId="3" borderId="3" xfId="2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Protection="1">
      <protection locked="0"/>
    </xf>
    <xf numFmtId="0" fontId="0" fillId="0" borderId="0" xfId="0" applyProtection="1">
      <protection locked="0"/>
    </xf>
    <xf numFmtId="1" fontId="14" fillId="0" borderId="3" xfId="0" applyNumberFormat="1" applyFont="1" applyBorder="1" applyAlignment="1" applyProtection="1">
      <alignment horizontal="center" vertical="center"/>
      <protection locked="0"/>
    </xf>
    <xf numFmtId="49" fontId="10" fillId="0" borderId="3" xfId="1" applyNumberFormat="1" applyFont="1" applyBorder="1" applyAlignment="1" applyProtection="1">
      <alignment horizontal="center" vertical="center"/>
      <protection locked="0"/>
    </xf>
    <xf numFmtId="49" fontId="12" fillId="0" borderId="3" xfId="0" applyNumberFormat="1" applyFont="1" applyBorder="1" applyAlignment="1" applyProtection="1">
      <alignment horizontal="center"/>
      <protection locked="0"/>
    </xf>
    <xf numFmtId="0" fontId="13" fillId="0" borderId="3" xfId="0" applyFont="1" applyFill="1" applyBorder="1" applyAlignment="1" applyProtection="1">
      <alignment horizontal="left" inden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15" fillId="0" borderId="3" xfId="0" applyFont="1" applyBorder="1" applyAlignment="1" applyProtection="1">
      <alignment horizontal="center" vertical="center"/>
      <protection locked="0"/>
    </xf>
    <xf numFmtId="15" fontId="0" fillId="0" borderId="3" xfId="0" applyNumberFormat="1" applyBorder="1" applyAlignment="1" applyProtection="1">
      <alignment horizontal="center" vertical="center" wrapText="1"/>
      <protection locked="0"/>
    </xf>
    <xf numFmtId="44" fontId="0" fillId="0" borderId="3" xfId="2" applyFont="1" applyBorder="1" applyAlignment="1" applyProtection="1">
      <alignment horizontal="center" vertical="center" wrapText="1"/>
      <protection locked="0"/>
    </xf>
    <xf numFmtId="1" fontId="11" fillId="0" borderId="6" xfId="0" applyNumberFormat="1" applyFont="1" applyBorder="1" applyAlignment="1" applyProtection="1">
      <alignment horizontal="center" vertical="center"/>
      <protection locked="0"/>
    </xf>
    <xf numFmtId="49" fontId="10" fillId="0" borderId="6" xfId="1" applyNumberFormat="1" applyFont="1" applyBorder="1" applyAlignment="1" applyProtection="1">
      <alignment horizontal="center" vertical="center"/>
      <protection locked="0"/>
    </xf>
    <xf numFmtId="49" fontId="12" fillId="0" borderId="6" xfId="0" applyNumberFormat="1" applyFont="1" applyBorder="1" applyAlignment="1" applyProtection="1">
      <alignment horizontal="center"/>
      <protection locked="0"/>
    </xf>
    <xf numFmtId="0" fontId="13" fillId="0" borderId="6" xfId="0" applyFont="1" applyFill="1" applyBorder="1" applyAlignment="1" applyProtection="1">
      <alignment horizontal="left" inden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15" fontId="0" fillId="0" borderId="6" xfId="0" applyNumberFormat="1" applyBorder="1" applyAlignment="1" applyProtection="1">
      <alignment horizontal="center" vertical="center" wrapText="1"/>
      <protection locked="0"/>
    </xf>
    <xf numFmtId="44" fontId="16" fillId="0" borderId="6" xfId="2" applyFont="1" applyFill="1" applyBorder="1" applyAlignment="1" applyProtection="1">
      <alignment horizontal="center" vertical="center" wrapText="1"/>
      <protection locked="0"/>
    </xf>
    <xf numFmtId="1" fontId="11" fillId="0" borderId="4" xfId="0" applyNumberFormat="1" applyFont="1" applyBorder="1" applyAlignment="1" applyProtection="1">
      <alignment horizontal="center" vertical="center"/>
      <protection locked="0"/>
    </xf>
    <xf numFmtId="49" fontId="10" fillId="0" borderId="4" xfId="1" applyNumberFormat="1" applyFont="1" applyBorder="1" applyAlignment="1" applyProtection="1">
      <alignment horizontal="center" vertical="center"/>
      <protection locked="0"/>
    </xf>
    <xf numFmtId="49" fontId="12" fillId="0" borderId="4" xfId="0" applyNumberFormat="1" applyFont="1" applyBorder="1" applyAlignment="1" applyProtection="1">
      <alignment horizontal="center"/>
      <protection locked="0"/>
    </xf>
    <xf numFmtId="0" fontId="13" fillId="0" borderId="4" xfId="0" applyFont="1" applyFill="1" applyBorder="1" applyAlignment="1" applyProtection="1">
      <alignment horizontal="left" inden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15" fontId="0" fillId="0" borderId="4" xfId="0" applyNumberFormat="1" applyBorder="1" applyAlignment="1" applyProtection="1">
      <alignment horizontal="center" vertical="center" wrapText="1"/>
      <protection locked="0"/>
    </xf>
    <xf numFmtId="44" fontId="16" fillId="4" borderId="4" xfId="2" applyFont="1" applyFill="1" applyBorder="1" applyAlignment="1" applyProtection="1">
      <alignment horizontal="center" vertical="center" wrapText="1"/>
      <protection locked="0"/>
    </xf>
    <xf numFmtId="1" fontId="11" fillId="3" borderId="9" xfId="0" applyNumberFormat="1" applyFont="1" applyFill="1" applyBorder="1" applyAlignment="1" applyProtection="1">
      <alignment horizontal="center" vertical="center"/>
      <protection locked="0"/>
    </xf>
    <xf numFmtId="49" fontId="10" fillId="3" borderId="9" xfId="1" applyNumberFormat="1" applyFont="1" applyFill="1" applyBorder="1" applyAlignment="1" applyProtection="1">
      <alignment horizontal="center" vertical="center"/>
      <protection locked="0"/>
    </xf>
    <xf numFmtId="49" fontId="12" fillId="3" borderId="9" xfId="0" applyNumberFormat="1" applyFont="1" applyFill="1" applyBorder="1" applyAlignment="1" applyProtection="1">
      <alignment horizontal="center"/>
      <protection locked="0"/>
    </xf>
    <xf numFmtId="0" fontId="13" fillId="3" borderId="9" xfId="0" applyFont="1" applyFill="1" applyBorder="1" applyAlignment="1" applyProtection="1">
      <alignment horizontal="left" indent="1"/>
      <protection locked="0"/>
    </xf>
    <xf numFmtId="0" fontId="0" fillId="3" borderId="9" xfId="0" applyFill="1" applyBorder="1" applyAlignment="1" applyProtection="1">
      <alignment horizontal="center" vertical="center" wrapText="1"/>
      <protection locked="0"/>
    </xf>
    <xf numFmtId="0" fontId="10" fillId="3" borderId="9" xfId="0" applyFont="1" applyFill="1" applyBorder="1" applyAlignment="1" applyProtection="1">
      <alignment horizontal="center" vertical="center"/>
      <protection locked="0"/>
    </xf>
    <xf numFmtId="15" fontId="0" fillId="3" borderId="9" xfId="0" applyNumberFormat="1" applyFill="1" applyBorder="1" applyAlignment="1" applyProtection="1">
      <alignment horizontal="center" vertical="center" wrapText="1"/>
      <protection locked="0"/>
    </xf>
    <xf numFmtId="44" fontId="4" fillId="4" borderId="9" xfId="2" applyFont="1" applyFill="1" applyBorder="1" applyAlignment="1" applyProtection="1">
      <alignment horizontal="center" vertical="center" wrapText="1"/>
      <protection locked="0"/>
    </xf>
    <xf numFmtId="15" fontId="15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11" fillId="3" borderId="5" xfId="0" applyNumberFormat="1" applyFont="1" applyFill="1" applyBorder="1" applyAlignment="1" applyProtection="1">
      <alignment horizontal="center" vertical="center"/>
      <protection locked="0"/>
    </xf>
    <xf numFmtId="49" fontId="10" fillId="3" borderId="5" xfId="1" applyNumberFormat="1" applyFont="1" applyFill="1" applyBorder="1" applyAlignment="1" applyProtection="1">
      <alignment horizontal="center" vertical="center"/>
      <protection locked="0"/>
    </xf>
    <xf numFmtId="49" fontId="12" fillId="3" borderId="5" xfId="0" applyNumberFormat="1" applyFon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/>
      <protection locked="0"/>
    </xf>
    <xf numFmtId="15" fontId="0" fillId="3" borderId="5" xfId="0" applyNumberFormat="1" applyFill="1" applyBorder="1" applyAlignment="1" applyProtection="1">
      <alignment horizontal="center" vertical="center" wrapText="1"/>
      <protection locked="0"/>
    </xf>
    <xf numFmtId="44" fontId="0" fillId="3" borderId="5" xfId="2" applyFont="1" applyFill="1" applyBorder="1" applyAlignment="1" applyProtection="1">
      <alignment horizontal="center" vertical="center" wrapText="1"/>
      <protection locked="0"/>
    </xf>
    <xf numFmtId="1" fontId="11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3" xfId="1" applyNumberFormat="1" applyFont="1" applyBorder="1" applyAlignment="1" applyProtection="1">
      <alignment horizontal="center" vertical="center"/>
      <protection locked="0"/>
    </xf>
    <xf numFmtId="0" fontId="18" fillId="0" borderId="3" xfId="0" applyFont="1" applyFill="1" applyBorder="1" applyAlignment="1" applyProtection="1">
      <alignment horizontal="left" indent="1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44" fontId="0" fillId="0" borderId="5" xfId="2" applyFont="1" applyBorder="1" applyAlignment="1" applyProtection="1">
      <alignment horizontal="center" vertical="center" wrapText="1"/>
      <protection locked="0"/>
    </xf>
    <xf numFmtId="1" fontId="14" fillId="0" borderId="6" xfId="0" applyNumberFormat="1" applyFont="1" applyBorder="1" applyAlignment="1" applyProtection="1">
      <alignment horizontal="center" vertical="center"/>
      <protection locked="0"/>
    </xf>
    <xf numFmtId="49" fontId="17" fillId="0" borderId="6" xfId="1" applyNumberFormat="1" applyFont="1" applyBorder="1" applyAlignment="1" applyProtection="1">
      <alignment horizontal="center" vertical="center"/>
      <protection locked="0"/>
    </xf>
    <xf numFmtId="0" fontId="18" fillId="0" borderId="6" xfId="0" applyFont="1" applyFill="1" applyBorder="1" applyAlignment="1" applyProtection="1">
      <alignment horizontal="left" indent="1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/>
      <protection locked="0"/>
    </xf>
    <xf numFmtId="1" fontId="14" fillId="0" borderId="4" xfId="0" applyNumberFormat="1" applyFont="1" applyBorder="1" applyAlignment="1" applyProtection="1">
      <alignment horizontal="center" vertical="center"/>
      <protection locked="0"/>
    </xf>
    <xf numFmtId="49" fontId="17" fillId="0" borderId="4" xfId="1" applyNumberFormat="1" applyFont="1" applyBorder="1" applyAlignment="1" applyProtection="1">
      <alignment horizontal="center" vertical="center"/>
      <protection locked="0"/>
    </xf>
    <xf numFmtId="0" fontId="18" fillId="0" borderId="4" xfId="0" applyFont="1" applyFill="1" applyBorder="1" applyAlignment="1" applyProtection="1">
      <alignment horizontal="left" indent="1"/>
      <protection locked="0"/>
    </xf>
    <xf numFmtId="0" fontId="15" fillId="0" borderId="4" xfId="0" applyFont="1" applyBorder="1" applyAlignment="1" applyProtection="1">
      <alignment horizontal="center" vertical="center"/>
      <protection locked="0"/>
    </xf>
    <xf numFmtId="44" fontId="4" fillId="4" borderId="4" xfId="2" applyFont="1" applyFill="1" applyBorder="1" applyAlignment="1" applyProtection="1">
      <alignment horizontal="center" vertical="center" wrapText="1"/>
      <protection locked="0"/>
    </xf>
    <xf numFmtId="49" fontId="2" fillId="3" borderId="5" xfId="1" applyNumberFormat="1" applyFont="1" applyFill="1" applyBorder="1" applyAlignment="1" applyProtection="1">
      <alignment horizontal="center" vertical="center"/>
      <protection locked="0"/>
    </xf>
    <xf numFmtId="0" fontId="18" fillId="3" borderId="5" xfId="0" applyFont="1" applyFill="1" applyBorder="1" applyAlignment="1" applyProtection="1">
      <alignment horizontal="left" indent="1"/>
      <protection locked="0"/>
    </xf>
    <xf numFmtId="49" fontId="0" fillId="0" borderId="3" xfId="1" applyNumberFormat="1" applyFont="1" applyBorder="1" applyAlignment="1" applyProtection="1">
      <alignment horizontal="center" vertical="center"/>
      <protection locked="0"/>
    </xf>
    <xf numFmtId="49" fontId="19" fillId="0" borderId="3" xfId="1" applyNumberFormat="1" applyFont="1" applyBorder="1" applyAlignment="1" applyProtection="1">
      <alignment horizontal="center" vertical="center"/>
      <protection locked="0"/>
    </xf>
    <xf numFmtId="0" fontId="0" fillId="0" borderId="3" xfId="0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15" fontId="0" fillId="0" borderId="3" xfId="0" applyNumberFormat="1" applyFill="1" applyBorder="1" applyAlignment="1" applyProtection="1">
      <alignment horizontal="center" vertical="center" wrapText="1"/>
      <protection locked="0"/>
    </xf>
    <xf numFmtId="44" fontId="0" fillId="0" borderId="5" xfId="2" applyFont="1" applyFill="1" applyBorder="1" applyAlignment="1" applyProtection="1">
      <alignment horizontal="center" vertical="center" wrapText="1"/>
      <protection locked="0"/>
    </xf>
    <xf numFmtId="49" fontId="0" fillId="0" borderId="4" xfId="1" applyNumberFormat="1" applyFont="1" applyBorder="1" applyAlignment="1" applyProtection="1">
      <alignment horizontal="center" vertical="center"/>
      <protection locked="0"/>
    </xf>
    <xf numFmtId="49" fontId="19" fillId="0" borderId="4" xfId="1" applyNumberFormat="1" applyFont="1" applyBorder="1" applyAlignment="1" applyProtection="1">
      <alignment horizontal="center" vertical="center"/>
      <protection locked="0"/>
    </xf>
    <xf numFmtId="1" fontId="11" fillId="0" borderId="5" xfId="0" applyNumberFormat="1" applyFont="1" applyBorder="1" applyAlignment="1" applyProtection="1">
      <alignment horizontal="center" vertical="center"/>
      <protection locked="0"/>
    </xf>
    <xf numFmtId="49" fontId="10" fillId="0" borderId="5" xfId="1" applyNumberFormat="1" applyFont="1" applyBorder="1" applyAlignment="1" applyProtection="1">
      <alignment horizontal="center" vertical="center"/>
      <protection locked="0"/>
    </xf>
    <xf numFmtId="49" fontId="12" fillId="0" borderId="5" xfId="0" applyNumberFormat="1" applyFont="1" applyBorder="1" applyAlignment="1" applyProtection="1">
      <alignment horizontal="center"/>
      <protection locked="0"/>
    </xf>
    <xf numFmtId="0" fontId="18" fillId="0" borderId="5" xfId="0" applyFont="1" applyFill="1" applyBorder="1" applyAlignment="1" applyProtection="1">
      <alignment horizontal="left" inden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15" fontId="0" fillId="0" borderId="5" xfId="0" applyNumberFormat="1" applyBorder="1" applyAlignment="1" applyProtection="1">
      <alignment horizontal="center" vertical="center" wrapText="1"/>
      <protection locked="0"/>
    </xf>
    <xf numFmtId="49" fontId="0" fillId="0" borderId="6" xfId="1" applyNumberFormat="1" applyFont="1" applyBorder="1" applyAlignment="1" applyProtection="1">
      <alignment horizontal="center" vertical="center"/>
      <protection locked="0"/>
    </xf>
    <xf numFmtId="49" fontId="19" fillId="0" borderId="6" xfId="1" applyNumberFormat="1" applyFont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>
      <alignment horizontal="center" vertical="center" wrapText="1"/>
      <protection locked="0"/>
    </xf>
    <xf numFmtId="1" fontId="11" fillId="0" borderId="6" xfId="0" applyNumberFormat="1" applyFont="1" applyFill="1" applyBorder="1" applyAlignment="1" applyProtection="1">
      <alignment horizontal="center" vertical="center"/>
      <protection locked="0"/>
    </xf>
    <xf numFmtId="49" fontId="10" fillId="0" borderId="7" xfId="1" applyNumberFormat="1" applyFont="1" applyFill="1" applyBorder="1" applyAlignment="1" applyProtection="1">
      <alignment horizontal="center" vertical="center"/>
      <protection locked="0"/>
    </xf>
    <xf numFmtId="49" fontId="12" fillId="0" borderId="7" xfId="0" applyNumberFormat="1" applyFont="1" applyFill="1" applyBorder="1" applyAlignment="1" applyProtection="1">
      <alignment horizontal="center"/>
      <protection locked="0"/>
    </xf>
    <xf numFmtId="0" fontId="18" fillId="0" borderId="7" xfId="0" applyFont="1" applyFill="1" applyBorder="1" applyAlignment="1" applyProtection="1">
      <alignment horizontal="left" indent="1"/>
      <protection locked="0"/>
    </xf>
    <xf numFmtId="0" fontId="0" fillId="0" borderId="7" xfId="0" applyFill="1" applyBorder="1" applyAlignment="1" applyProtection="1">
      <alignment horizontal="center" vertical="center" wrapText="1"/>
      <protection locked="0"/>
    </xf>
    <xf numFmtId="0" fontId="0" fillId="0" borderId="5" xfId="0" applyFill="1" applyBorder="1" applyAlignment="1" applyProtection="1">
      <alignment horizontal="center" vertical="center" wrapText="1"/>
      <protection locked="0"/>
    </xf>
    <xf numFmtId="0" fontId="10" fillId="0" borderId="5" xfId="0" applyFont="1" applyFill="1" applyBorder="1" applyAlignment="1" applyProtection="1">
      <alignment horizontal="center" vertical="center"/>
      <protection locked="0"/>
    </xf>
    <xf numFmtId="15" fontId="0" fillId="0" borderId="5" xfId="0" applyNumberFormat="1" applyFill="1" applyBorder="1" applyAlignment="1" applyProtection="1">
      <alignment horizontal="center" vertical="center" wrapText="1"/>
      <protection locked="0"/>
    </xf>
    <xf numFmtId="44" fontId="0" fillId="0" borderId="7" xfId="2" applyFont="1" applyFill="1" applyBorder="1" applyAlignment="1" applyProtection="1">
      <alignment horizontal="center" vertical="center" wrapText="1"/>
      <protection locked="0"/>
    </xf>
    <xf numFmtId="44" fontId="0" fillId="0" borderId="7" xfId="2" applyFont="1" applyBorder="1" applyAlignment="1" applyProtection="1">
      <alignment horizontal="center" vertical="center" wrapText="1"/>
      <protection locked="0"/>
    </xf>
    <xf numFmtId="164" fontId="0" fillId="0" borderId="0" xfId="0" applyNumberFormat="1" applyFill="1" applyProtection="1"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  <xf numFmtId="0" fontId="0" fillId="0" borderId="4" xfId="0" applyBorder="1" applyAlignment="1" applyProtection="1">
      <alignment horizontal="center" vertical="top" wrapText="1"/>
      <protection locked="0"/>
    </xf>
    <xf numFmtId="0" fontId="10" fillId="0" borderId="4" xfId="0" applyFont="1" applyFill="1" applyBorder="1" applyAlignment="1" applyProtection="1">
      <alignment horizontal="center" vertical="center"/>
      <protection locked="0"/>
    </xf>
    <xf numFmtId="15" fontId="0" fillId="0" borderId="4" xfId="0" applyNumberForma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top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 vertical="top" wrapText="1"/>
      <protection locked="0"/>
    </xf>
    <xf numFmtId="0" fontId="10" fillId="0" borderId="3" xfId="0" applyFont="1" applyFill="1" applyBorder="1" applyAlignment="1" applyProtection="1">
      <alignment horizontal="center" vertical="top"/>
      <protection locked="0"/>
    </xf>
    <xf numFmtId="1" fontId="11" fillId="0" borderId="4" xfId="0" applyNumberFormat="1" applyFont="1" applyBorder="1" applyAlignment="1" applyProtection="1">
      <alignment horizontal="center" vertical="top"/>
      <protection locked="0"/>
    </xf>
    <xf numFmtId="0" fontId="0" fillId="0" borderId="4" xfId="0" applyBorder="1" applyAlignment="1" applyProtection="1">
      <alignment horizontal="center"/>
      <protection locked="0"/>
    </xf>
    <xf numFmtId="0" fontId="19" fillId="0" borderId="4" xfId="0" applyFont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 vertical="top" wrapText="1"/>
      <protection locked="0"/>
    </xf>
    <xf numFmtId="0" fontId="10" fillId="0" borderId="4" xfId="0" applyFont="1" applyBorder="1" applyAlignment="1" applyProtection="1">
      <alignment horizontal="center" vertical="top"/>
      <protection locked="0"/>
    </xf>
    <xf numFmtId="1" fontId="11" fillId="0" borderId="11" xfId="0" applyNumberFormat="1" applyFont="1" applyFill="1" applyBorder="1" applyAlignment="1" applyProtection="1">
      <alignment horizontal="center" vertical="center"/>
      <protection locked="0"/>
    </xf>
    <xf numFmtId="49" fontId="10" fillId="0" borderId="11" xfId="1" applyNumberFormat="1" applyFont="1" applyBorder="1" applyAlignment="1" applyProtection="1">
      <alignment horizontal="center" vertical="center"/>
      <protection locked="0"/>
    </xf>
    <xf numFmtId="0" fontId="19" fillId="0" borderId="11" xfId="0" applyFont="1" applyBorder="1" applyAlignment="1" applyProtection="1">
      <alignment horizontal="center"/>
      <protection locked="0"/>
    </xf>
    <xf numFmtId="0" fontId="18" fillId="0" borderId="11" xfId="0" applyFont="1" applyFill="1" applyBorder="1" applyAlignment="1" applyProtection="1">
      <alignment horizontal="left" indent="1"/>
      <protection locked="0"/>
    </xf>
    <xf numFmtId="0" fontId="0" fillId="0" borderId="11" xfId="0" applyBorder="1" applyAlignment="1" applyProtection="1">
      <alignment horizontal="center" vertical="top" wrapText="1"/>
      <protection locked="0"/>
    </xf>
    <xf numFmtId="0" fontId="21" fillId="0" borderId="11" xfId="0" applyFont="1" applyFill="1" applyBorder="1" applyAlignment="1" applyProtection="1">
      <alignment horizontal="center"/>
      <protection locked="0"/>
    </xf>
    <xf numFmtId="0" fontId="10" fillId="0" borderId="5" xfId="0" applyFont="1" applyFill="1" applyBorder="1" applyAlignment="1" applyProtection="1">
      <alignment horizontal="center"/>
      <protection locked="0"/>
    </xf>
    <xf numFmtId="15" fontId="0" fillId="0" borderId="11" xfId="0" applyNumberFormat="1" applyBorder="1" applyAlignment="1" applyProtection="1">
      <alignment horizontal="center" vertical="center" wrapText="1"/>
      <protection locked="0"/>
    </xf>
    <xf numFmtId="44" fontId="4" fillId="0" borderId="11" xfId="2" applyFont="1" applyFill="1" applyBorder="1" applyAlignment="1" applyProtection="1">
      <alignment horizontal="center" vertical="center" wrapText="1"/>
      <protection locked="0"/>
    </xf>
    <xf numFmtId="0" fontId="19" fillId="0" borderId="6" xfId="0" applyFont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 vertical="top" wrapText="1"/>
      <protection locked="0"/>
    </xf>
    <xf numFmtId="0" fontId="21" fillId="0" borderId="6" xfId="0" applyFont="1" applyFill="1" applyBorder="1" applyAlignment="1" applyProtection="1">
      <alignment horizontal="center"/>
      <protection locked="0"/>
    </xf>
    <xf numFmtId="44" fontId="0" fillId="0" borderId="3" xfId="2" applyFont="1" applyFill="1" applyBorder="1" applyAlignment="1" applyProtection="1">
      <alignment horizontal="center" vertical="center" wrapText="1"/>
      <protection locked="0"/>
    </xf>
    <xf numFmtId="44" fontId="4" fillId="0" borderId="6" xfId="2" applyFont="1" applyFill="1" applyBorder="1" applyAlignment="1" applyProtection="1">
      <alignment horizontal="center" vertical="center" wrapText="1"/>
      <protection locked="0"/>
    </xf>
    <xf numFmtId="15" fontId="0" fillId="0" borderId="7" xfId="0" applyNumberFormat="1" applyBorder="1" applyAlignment="1" applyProtection="1">
      <alignment horizontal="center" vertical="center" wrapText="1"/>
      <protection locked="0"/>
    </xf>
    <xf numFmtId="0" fontId="21" fillId="0" borderId="4" xfId="0" applyFont="1" applyFill="1" applyBorder="1" applyAlignment="1" applyProtection="1">
      <alignment horizontal="center"/>
      <protection locked="0"/>
    </xf>
    <xf numFmtId="0" fontId="19" fillId="0" borderId="5" xfId="0" applyFon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 vertical="top" wrapText="1"/>
      <protection locked="0"/>
    </xf>
    <xf numFmtId="0" fontId="0" fillId="0" borderId="5" xfId="0" applyFill="1" applyBorder="1" applyAlignment="1" applyProtection="1">
      <alignment horizontal="center" vertical="top" wrapText="1"/>
      <protection locked="0"/>
    </xf>
    <xf numFmtId="0" fontId="10" fillId="0" borderId="5" xfId="0" applyFont="1" applyBorder="1" applyAlignment="1" applyProtection="1">
      <alignment horizontal="center" vertical="top"/>
      <protection locked="0"/>
    </xf>
    <xf numFmtId="1" fontId="11" fillId="0" borderId="3" xfId="0" applyNumberFormat="1" applyFont="1" applyBorder="1" applyAlignment="1" applyProtection="1">
      <alignment horizontal="center" vertical="top"/>
      <protection locked="0"/>
    </xf>
    <xf numFmtId="0" fontId="0" fillId="0" borderId="3" xfId="0" applyBorder="1" applyAlignment="1" applyProtection="1">
      <alignment horizontal="center"/>
      <protection locked="0"/>
    </xf>
    <xf numFmtId="0" fontId="19" fillId="0" borderId="3" xfId="0" applyFont="1" applyBorder="1" applyAlignment="1" applyProtection="1">
      <alignment horizontal="center"/>
      <protection locked="0"/>
    </xf>
    <xf numFmtId="0" fontId="10" fillId="0" borderId="3" xfId="0" applyFont="1" applyBorder="1" applyAlignment="1" applyProtection="1">
      <alignment horizontal="center" vertical="top"/>
      <protection locked="0"/>
    </xf>
    <xf numFmtId="0" fontId="20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/>
      <protection locked="0"/>
    </xf>
    <xf numFmtId="1" fontId="11" fillId="0" borderId="4" xfId="0" applyNumberFormat="1" applyFont="1" applyBorder="1" applyAlignment="1" applyProtection="1">
      <alignment horizontal="center"/>
      <protection locked="0"/>
    </xf>
    <xf numFmtId="49" fontId="12" fillId="3" borderId="9" xfId="0" applyNumberFormat="1" applyFont="1" applyFill="1" applyBorder="1" applyAlignment="1" applyProtection="1">
      <alignment horizontal="center" vertical="center"/>
      <protection locked="0"/>
    </xf>
    <xf numFmtId="0" fontId="18" fillId="3" borderId="9" xfId="0" applyFont="1" applyFill="1" applyBorder="1" applyAlignment="1" applyProtection="1">
      <alignment horizontal="left" vertical="center"/>
      <protection locked="0"/>
    </xf>
    <xf numFmtId="0" fontId="0" fillId="3" borderId="9" xfId="0" applyFill="1" applyBorder="1" applyAlignment="1" applyProtection="1">
      <alignment horizontal="center" vertical="center"/>
      <protection locked="0"/>
    </xf>
    <xf numFmtId="15" fontId="15" fillId="3" borderId="9" xfId="0" applyNumberFormat="1" applyFont="1" applyFill="1" applyBorder="1" applyAlignment="1" applyProtection="1">
      <alignment horizontal="left" vertical="center" wrapText="1"/>
      <protection locked="0"/>
    </xf>
    <xf numFmtId="0" fontId="10" fillId="3" borderId="5" xfId="0" applyFont="1" applyFill="1" applyBorder="1" applyAlignment="1" applyProtection="1">
      <alignment horizontal="center"/>
      <protection locked="0"/>
    </xf>
    <xf numFmtId="1" fontId="11" fillId="0" borderId="3" xfId="0" applyNumberFormat="1" applyFont="1" applyBorder="1" applyAlignment="1" applyProtection="1">
      <alignment horizontal="center"/>
      <protection locked="0"/>
    </xf>
    <xf numFmtId="0" fontId="10" fillId="0" borderId="3" xfId="0" applyFont="1" applyBorder="1" applyAlignment="1" applyProtection="1">
      <alignment horizontal="center"/>
      <protection locked="0"/>
    </xf>
    <xf numFmtId="0" fontId="17" fillId="0" borderId="3" xfId="0" applyFont="1" applyBorder="1" applyAlignment="1" applyProtection="1">
      <alignment horizontal="center"/>
      <protection locked="0"/>
    </xf>
    <xf numFmtId="1" fontId="11" fillId="0" borderId="6" xfId="0" applyNumberFormat="1" applyFont="1" applyBorder="1" applyAlignment="1" applyProtection="1">
      <alignment horizontal="center"/>
      <protection locked="0"/>
    </xf>
    <xf numFmtId="0" fontId="10" fillId="0" borderId="6" xfId="0" applyFont="1" applyBorder="1" applyAlignment="1" applyProtection="1">
      <alignment horizontal="center"/>
      <protection locked="0"/>
    </xf>
    <xf numFmtId="0" fontId="17" fillId="0" borderId="6" xfId="0" applyFont="1" applyBorder="1" applyAlignment="1" applyProtection="1">
      <alignment horizontal="center"/>
      <protection locked="0"/>
    </xf>
    <xf numFmtId="0" fontId="10" fillId="0" borderId="4" xfId="0" applyFont="1" applyBorder="1" applyAlignment="1" applyProtection="1">
      <alignment horizontal="center"/>
      <protection locked="0"/>
    </xf>
    <xf numFmtId="0" fontId="17" fillId="0" borderId="4" xfId="0" applyFont="1" applyBorder="1" applyAlignment="1" applyProtection="1">
      <alignment horizontal="center"/>
      <protection locked="0"/>
    </xf>
    <xf numFmtId="0" fontId="18" fillId="3" borderId="7" xfId="0" applyFont="1" applyFill="1" applyBorder="1" applyAlignment="1" applyProtection="1">
      <alignment horizontal="left" indent="1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10" fillId="3" borderId="3" xfId="0" applyFont="1" applyFill="1" applyBorder="1" applyAlignment="1" applyProtection="1">
      <alignment horizontal="center"/>
      <protection locked="0"/>
    </xf>
    <xf numFmtId="15" fontId="21" fillId="0" borderId="4" xfId="0" applyNumberFormat="1" applyFont="1" applyBorder="1" applyAlignment="1" applyProtection="1">
      <alignment horizontal="center" vertical="center" wrapText="1"/>
      <protection locked="0"/>
    </xf>
    <xf numFmtId="0" fontId="18" fillId="0" borderId="10" xfId="0" applyFont="1" applyFill="1" applyBorder="1" applyAlignment="1" applyProtection="1">
      <alignment horizontal="left" indent="1"/>
      <protection locked="0"/>
    </xf>
    <xf numFmtId="0" fontId="10" fillId="0" borderId="10" xfId="0" applyFont="1" applyFill="1" applyBorder="1" applyAlignment="1" applyProtection="1">
      <alignment horizontal="center"/>
      <protection locked="0"/>
    </xf>
    <xf numFmtId="0" fontId="21" fillId="0" borderId="3" xfId="0" applyFont="1" applyFill="1" applyBorder="1" applyAlignment="1" applyProtection="1">
      <alignment horizontal="center"/>
      <protection locked="0"/>
    </xf>
    <xf numFmtId="0" fontId="10" fillId="0" borderId="3" xfId="0" applyFont="1" applyFill="1" applyBorder="1" applyAlignment="1" applyProtection="1">
      <alignment horizontal="center"/>
      <protection locked="0"/>
    </xf>
    <xf numFmtId="15" fontId="21" fillId="0" borderId="3" xfId="0" applyNumberFormat="1" applyFont="1" applyBorder="1" applyAlignment="1" applyProtection="1">
      <alignment horizontal="center" vertical="center" wrapText="1"/>
      <protection locked="0"/>
    </xf>
    <xf numFmtId="0" fontId="21" fillId="0" borderId="7" xfId="0" applyFont="1" applyFill="1" applyBorder="1" applyAlignment="1" applyProtection="1">
      <alignment horizontal="center"/>
      <protection locked="0"/>
    </xf>
    <xf numFmtId="0" fontId="10" fillId="0" borderId="6" xfId="0" applyFont="1" applyFill="1" applyBorder="1" applyAlignment="1" applyProtection="1">
      <alignment horizontal="center"/>
      <protection locked="0"/>
    </xf>
    <xf numFmtId="0" fontId="17" fillId="0" borderId="6" xfId="0" applyFont="1" applyFill="1" applyBorder="1" applyAlignment="1" applyProtection="1">
      <alignment horizontal="center"/>
      <protection locked="0"/>
    </xf>
    <xf numFmtId="0" fontId="0" fillId="0" borderId="6" xfId="0" applyFill="1" applyBorder="1" applyAlignment="1" applyProtection="1">
      <alignment horizontal="center"/>
      <protection locked="0"/>
    </xf>
    <xf numFmtId="44" fontId="0" fillId="0" borderId="0" xfId="2" applyFont="1" applyAlignment="1" applyProtection="1">
      <alignment horizontal="center"/>
      <protection locked="0"/>
    </xf>
    <xf numFmtId="44" fontId="0" fillId="0" borderId="6" xfId="2" applyFont="1" applyFill="1" applyBorder="1" applyAlignment="1" applyProtection="1">
      <alignment horizontal="center" vertical="center" wrapText="1"/>
      <protection locked="0"/>
    </xf>
    <xf numFmtId="49" fontId="12" fillId="3" borderId="5" xfId="0" applyNumberFormat="1" applyFont="1" applyFill="1" applyBorder="1" applyAlignment="1" applyProtection="1">
      <alignment horizontal="center" vertical="center"/>
      <protection locked="0"/>
    </xf>
    <xf numFmtId="0" fontId="18" fillId="3" borderId="5" xfId="0" applyFont="1" applyFill="1" applyBorder="1" applyAlignment="1" applyProtection="1">
      <alignment horizontal="left" vertic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44" fontId="4" fillId="0" borderId="7" xfId="2" applyFont="1" applyFill="1" applyBorder="1" applyAlignment="1" applyProtection="1">
      <alignment horizontal="center" vertical="center" wrapText="1"/>
      <protection locked="0"/>
    </xf>
    <xf numFmtId="0" fontId="0" fillId="0" borderId="5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8" fillId="3" borderId="5" xfId="0" applyFont="1" applyFill="1" applyBorder="1" applyAlignment="1" applyProtection="1">
      <alignment horizontal="left" vertical="center" wrapText="1"/>
      <protection locked="0"/>
    </xf>
    <xf numFmtId="1" fontId="11" fillId="0" borderId="7" xfId="0" applyNumberFormat="1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 applyProtection="1">
      <alignment horizontal="center"/>
      <protection locked="0"/>
    </xf>
    <xf numFmtId="0" fontId="18" fillId="0" borderId="6" xfId="0" applyFont="1" applyFill="1" applyBorder="1" applyAlignment="1" applyProtection="1">
      <alignment horizontal="center"/>
      <protection locked="0"/>
    </xf>
    <xf numFmtId="1" fontId="11" fillId="0" borderId="3" xfId="0" applyNumberFormat="1" applyFont="1" applyFill="1" applyBorder="1" applyAlignment="1" applyProtection="1">
      <alignment horizontal="center" vertical="center"/>
      <protection locked="0"/>
    </xf>
    <xf numFmtId="49" fontId="12" fillId="0" borderId="3" xfId="0" applyNumberFormat="1" applyFont="1" applyFill="1" applyBorder="1" applyAlignment="1" applyProtection="1">
      <alignment horizontal="center"/>
      <protection locked="0"/>
    </xf>
    <xf numFmtId="0" fontId="18" fillId="0" borderId="3" xfId="0" applyFont="1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1" fontId="11" fillId="0" borderId="9" xfId="0" applyNumberFormat="1" applyFont="1" applyFill="1" applyBorder="1" applyAlignment="1" applyProtection="1">
      <alignment horizontal="center" vertical="center"/>
      <protection locked="0"/>
    </xf>
    <xf numFmtId="0" fontId="10" fillId="0" borderId="9" xfId="0" applyFont="1" applyFill="1" applyBorder="1" applyAlignment="1" applyProtection="1">
      <alignment horizontal="center"/>
      <protection locked="0"/>
    </xf>
    <xf numFmtId="49" fontId="12" fillId="0" borderId="9" xfId="0" applyNumberFormat="1" applyFont="1" applyFill="1" applyBorder="1" applyAlignment="1" applyProtection="1">
      <alignment horizontal="center"/>
      <protection locked="0"/>
    </xf>
    <xf numFmtId="0" fontId="18" fillId="0" borderId="9" xfId="0" applyFont="1" applyFill="1" applyBorder="1" applyAlignment="1" applyProtection="1">
      <alignment horizontal="center"/>
      <protection locked="0"/>
    </xf>
    <xf numFmtId="0" fontId="0" fillId="0" borderId="9" xfId="0" applyFill="1" applyBorder="1" applyAlignment="1" applyProtection="1">
      <alignment horizontal="center"/>
      <protection locked="0"/>
    </xf>
    <xf numFmtId="0" fontId="19" fillId="0" borderId="9" xfId="0" applyFont="1" applyFill="1" applyBorder="1" applyAlignment="1" applyProtection="1">
      <alignment horizontal="center"/>
      <protection locked="0"/>
    </xf>
    <xf numFmtId="0" fontId="18" fillId="0" borderId="9" xfId="0" applyFont="1" applyFill="1" applyBorder="1" applyAlignment="1" applyProtection="1">
      <alignment horizontal="left" indent="1"/>
      <protection locked="0"/>
    </xf>
    <xf numFmtId="0" fontId="22" fillId="7" borderId="8" xfId="0" applyFont="1" applyFill="1" applyBorder="1" applyAlignment="1" applyProtection="1">
      <alignment horizontal="center"/>
      <protection locked="0"/>
    </xf>
    <xf numFmtId="0" fontId="10" fillId="7" borderId="9" xfId="0" applyFont="1" applyFill="1" applyBorder="1" applyAlignment="1" applyProtection="1">
      <alignment horizontal="center"/>
      <protection locked="0"/>
    </xf>
    <xf numFmtId="15" fontId="0" fillId="7" borderId="9" xfId="0" applyNumberFormat="1" applyFill="1" applyBorder="1" applyAlignment="1" applyProtection="1">
      <alignment horizontal="center" vertical="center" wrapText="1"/>
      <protection locked="0"/>
    </xf>
    <xf numFmtId="44" fontId="4" fillId="7" borderId="9" xfId="2" applyFont="1" applyFill="1" applyBorder="1" applyAlignment="1" applyProtection="1">
      <alignment horizontal="center" vertical="center" wrapText="1"/>
      <protection locked="0"/>
    </xf>
    <xf numFmtId="15" fontId="15" fillId="7" borderId="9" xfId="0" applyNumberFormat="1" applyFont="1" applyFill="1" applyBorder="1" applyAlignment="1" applyProtection="1">
      <alignment horizontal="center" vertical="center" wrapText="1"/>
      <protection locked="0"/>
    </xf>
    <xf numFmtId="15" fontId="0" fillId="3" borderId="7" xfId="0" applyNumberFormat="1" applyFill="1" applyBorder="1" applyAlignment="1" applyProtection="1">
      <alignment horizontal="center" vertical="center" wrapText="1"/>
      <protection locked="0"/>
    </xf>
    <xf numFmtId="0" fontId="19" fillId="0" borderId="3" xfId="0" applyFont="1" applyBorder="1" applyAlignment="1" applyProtection="1">
      <alignment horizontal="center" vertical="center"/>
      <protection locked="0"/>
    </xf>
    <xf numFmtId="0" fontId="18" fillId="0" borderId="3" xfId="0" applyFont="1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4" fontId="4" fillId="0" borderId="3" xfId="2" applyFont="1" applyFill="1" applyBorder="1" applyAlignment="1" applyProtection="1">
      <alignment horizontal="center" vertical="center" wrapText="1"/>
      <protection locked="0"/>
    </xf>
    <xf numFmtId="1" fontId="11" fillId="0" borderId="9" xfId="0" applyNumberFormat="1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0" fontId="19" fillId="0" borderId="9" xfId="0" applyFont="1" applyBorder="1" applyAlignment="1" applyProtection="1">
      <alignment horizontal="center" vertical="center"/>
      <protection locked="0"/>
    </xf>
    <xf numFmtId="0" fontId="18" fillId="0" borderId="9" xfId="0" applyFont="1" applyFill="1" applyBorder="1" applyAlignment="1" applyProtection="1">
      <alignment horizontal="left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9" xfId="0" applyFill="1" applyBorder="1" applyAlignment="1" applyProtection="1">
      <alignment horizontal="center" vertical="center"/>
      <protection locked="0"/>
    </xf>
    <xf numFmtId="15" fontId="0" fillId="0" borderId="9" xfId="0" applyNumberFormat="1" applyBorder="1" applyAlignment="1" applyProtection="1">
      <alignment horizontal="center" vertical="center" wrapText="1"/>
      <protection locked="0"/>
    </xf>
    <xf numFmtId="1" fontId="11" fillId="3" borderId="12" xfId="0" applyNumberFormat="1" applyFont="1" applyFill="1" applyBorder="1" applyAlignment="1" applyProtection="1">
      <alignment horizontal="center" vertical="center"/>
      <protection locked="0"/>
    </xf>
    <xf numFmtId="0" fontId="10" fillId="5" borderId="5" xfId="0" applyFont="1" applyFill="1" applyBorder="1" applyAlignment="1" applyProtection="1">
      <alignment horizontal="center" vertical="top"/>
      <protection locked="0"/>
    </xf>
    <xf numFmtId="15" fontId="0" fillId="5" borderId="5" xfId="0" applyNumberFormat="1" applyFill="1" applyBorder="1" applyAlignment="1" applyProtection="1">
      <alignment horizontal="center" vertical="center" wrapText="1"/>
      <protection locked="0"/>
    </xf>
    <xf numFmtId="1" fontId="11" fillId="0" borderId="12" xfId="0" applyNumberFormat="1" applyFont="1" applyBorder="1" applyAlignment="1" applyProtection="1">
      <alignment horizontal="center"/>
      <protection locked="0"/>
    </xf>
    <xf numFmtId="0" fontId="10" fillId="0" borderId="5" xfId="0" applyFont="1" applyBorder="1" applyAlignment="1" applyProtection="1">
      <alignment horizontal="center"/>
      <protection locked="0"/>
    </xf>
    <xf numFmtId="1" fontId="11" fillId="0" borderId="3" xfId="0" applyNumberFormat="1" applyFont="1" applyFill="1" applyBorder="1" applyAlignment="1" applyProtection="1">
      <alignment horizontal="center"/>
      <protection locked="0"/>
    </xf>
    <xf numFmtId="0" fontId="19" fillId="0" borderId="3" xfId="0" applyFont="1" applyFill="1" applyBorder="1" applyAlignment="1" applyProtection="1">
      <alignment horizontal="center"/>
      <protection locked="0"/>
    </xf>
    <xf numFmtId="0" fontId="10" fillId="7" borderId="5" xfId="0" applyFont="1" applyFill="1" applyBorder="1" applyAlignment="1" applyProtection="1">
      <alignment horizontal="center"/>
      <protection locked="0"/>
    </xf>
    <xf numFmtId="15" fontId="0" fillId="7" borderId="5" xfId="0" applyNumberFormat="1" applyFill="1" applyBorder="1" applyAlignment="1" applyProtection="1">
      <alignment horizontal="center" vertical="center" wrapText="1"/>
      <protection locked="0"/>
    </xf>
    <xf numFmtId="44" fontId="0" fillId="7" borderId="5" xfId="2" applyFont="1" applyFill="1" applyBorder="1" applyAlignment="1" applyProtection="1">
      <alignment horizontal="center" vertical="center" wrapText="1"/>
      <protection locked="0"/>
    </xf>
    <xf numFmtId="0" fontId="20" fillId="3" borderId="5" xfId="0" applyFont="1" applyFill="1" applyBorder="1" applyAlignment="1" applyProtection="1">
      <alignment horizontal="center" vertical="center" wrapText="1"/>
      <protection locked="0"/>
    </xf>
    <xf numFmtId="1" fontId="11" fillId="0" borderId="5" xfId="0" applyNumberFormat="1" applyFont="1" applyFill="1" applyBorder="1" applyAlignment="1" applyProtection="1">
      <alignment horizontal="center" vertical="center"/>
      <protection locked="0"/>
    </xf>
    <xf numFmtId="49" fontId="12" fillId="0" borderId="5" xfId="0" applyNumberFormat="1" applyFont="1" applyFill="1" applyBorder="1" applyAlignment="1" applyProtection="1">
      <alignment horizontal="center"/>
      <protection locked="0"/>
    </xf>
    <xf numFmtId="0" fontId="20" fillId="0" borderId="5" xfId="0" applyFont="1" applyFill="1" applyBorder="1" applyAlignment="1" applyProtection="1">
      <alignment horizontal="center" vertical="center" wrapText="1"/>
      <protection locked="0"/>
    </xf>
    <xf numFmtId="1" fontId="11" fillId="0" borderId="6" xfId="0" applyNumberFormat="1" applyFont="1" applyFill="1" applyBorder="1" applyAlignment="1" applyProtection="1">
      <alignment horizontal="center"/>
      <protection locked="0"/>
    </xf>
    <xf numFmtId="0" fontId="10" fillId="0" borderId="6" xfId="0" applyFont="1" applyFill="1" applyBorder="1" applyAlignment="1" applyProtection="1">
      <alignment horizontal="center" vertical="center"/>
      <protection locked="0"/>
    </xf>
    <xf numFmtId="15" fontId="0" fillId="0" borderId="6" xfId="0" applyNumberFormat="1" applyFill="1" applyBorder="1" applyAlignment="1" applyProtection="1">
      <alignment horizontal="center" vertical="center" wrapText="1"/>
      <protection locked="0"/>
    </xf>
    <xf numFmtId="1" fontId="11" fillId="0" borderId="4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Fill="1" applyBorder="1" applyAlignment="1" applyProtection="1">
      <alignment horizontal="center"/>
      <protection locked="0"/>
    </xf>
    <xf numFmtId="49" fontId="12" fillId="0" borderId="4" xfId="0" applyNumberFormat="1" applyFont="1" applyFill="1" applyBorder="1" applyAlignment="1" applyProtection="1">
      <alignment horizontal="center"/>
      <protection locked="0"/>
    </xf>
    <xf numFmtId="44" fontId="26" fillId="0" borderId="5" xfId="2" applyFont="1" applyFill="1" applyBorder="1" applyAlignment="1" applyProtection="1">
      <alignment horizontal="center" vertical="center" wrapText="1"/>
      <protection locked="0"/>
    </xf>
    <xf numFmtId="0" fontId="19" fillId="0" borderId="5" xfId="0" applyFont="1" applyFill="1" applyBorder="1" applyAlignment="1" applyProtection="1">
      <alignment horizontal="center"/>
      <protection locked="0"/>
    </xf>
    <xf numFmtId="0" fontId="0" fillId="0" borderId="6" xfId="0" applyFill="1" applyBorder="1" applyAlignment="1" applyProtection="1">
      <alignment horizontal="center" vertical="top" wrapText="1"/>
      <protection locked="0"/>
    </xf>
    <xf numFmtId="1" fontId="11" fillId="0" borderId="10" xfId="0" applyNumberFormat="1" applyFont="1" applyFill="1" applyBorder="1" applyAlignment="1" applyProtection="1">
      <alignment horizontal="center" vertical="center"/>
      <protection locked="0"/>
    </xf>
    <xf numFmtId="0" fontId="19" fillId="0" borderId="10" xfId="0" applyFont="1" applyFill="1" applyBorder="1" applyAlignment="1" applyProtection="1">
      <alignment horizontal="center"/>
      <protection locked="0"/>
    </xf>
    <xf numFmtId="0" fontId="0" fillId="0" borderId="10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horizontal="center" vertical="top" wrapText="1"/>
      <protection locked="0"/>
    </xf>
    <xf numFmtId="15" fontId="0" fillId="0" borderId="10" xfId="0" applyNumberFormat="1" applyFill="1" applyBorder="1" applyAlignment="1" applyProtection="1">
      <alignment horizontal="center" vertical="center" wrapText="1"/>
      <protection locked="0"/>
    </xf>
    <xf numFmtId="44" fontId="4" fillId="0" borderId="10" xfId="2" applyFont="1" applyFill="1" applyBorder="1" applyAlignment="1" applyProtection="1">
      <alignment horizontal="center" vertical="center" wrapText="1"/>
      <protection locked="0"/>
    </xf>
    <xf numFmtId="0" fontId="10" fillId="0" borderId="7" xfId="0" applyFont="1" applyFill="1" applyBorder="1" applyAlignment="1" applyProtection="1">
      <alignment horizontal="center" vertical="center"/>
      <protection locked="0"/>
    </xf>
    <xf numFmtId="0" fontId="19" fillId="0" borderId="7" xfId="0" applyFont="1" applyFill="1" applyBorder="1" applyAlignment="1" applyProtection="1">
      <alignment horizontal="center" vertical="center"/>
      <protection locked="0"/>
    </xf>
    <xf numFmtId="0" fontId="18" fillId="0" borderId="7" xfId="0" applyFont="1" applyFill="1" applyBorder="1" applyAlignment="1" applyProtection="1">
      <alignment horizontal="left" vertical="center" wrapText="1"/>
      <protection locked="0"/>
    </xf>
    <xf numFmtId="0" fontId="0" fillId="0" borderId="7" xfId="0" applyFill="1" applyBorder="1" applyAlignment="1" applyProtection="1">
      <alignment horizontal="center" vertical="center"/>
      <protection locked="0"/>
    </xf>
    <xf numFmtId="15" fontId="0" fillId="0" borderId="7" xfId="0" applyNumberFormat="1" applyFill="1" applyBorder="1" applyAlignment="1" applyProtection="1">
      <alignment horizontal="center" vertical="center" wrapText="1"/>
      <protection locked="0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19" fillId="0" borderId="5" xfId="0" applyFont="1" applyBorder="1" applyAlignment="1" applyProtection="1">
      <alignment horizontal="center" vertical="center"/>
      <protection locked="0"/>
    </xf>
    <xf numFmtId="0" fontId="18" fillId="0" borderId="5" xfId="0" applyFont="1" applyFill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1" fontId="11" fillId="0" borderId="9" xfId="0" applyNumberFormat="1" applyFont="1" applyBorder="1" applyAlignment="1" applyProtection="1">
      <alignment horizontal="center"/>
      <protection locked="0"/>
    </xf>
    <xf numFmtId="0" fontId="10" fillId="0" borderId="9" xfId="0" applyFont="1" applyBorder="1" applyAlignment="1" applyProtection="1">
      <alignment horizontal="center"/>
      <protection locked="0"/>
    </xf>
    <xf numFmtId="0" fontId="19" fillId="0" borderId="9" xfId="0" applyFont="1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21" fillId="0" borderId="9" xfId="0" applyFont="1" applyFill="1" applyBorder="1" applyAlignment="1" applyProtection="1">
      <alignment horizontal="center" vertical="center" wrapText="1"/>
      <protection locked="0"/>
    </xf>
    <xf numFmtId="0" fontId="20" fillId="0" borderId="9" xfId="0" applyFont="1" applyFill="1" applyBorder="1" applyAlignment="1" applyProtection="1">
      <alignment horizontal="center"/>
      <protection locked="0"/>
    </xf>
    <xf numFmtId="15" fontId="21" fillId="0" borderId="9" xfId="0" applyNumberFormat="1" applyFont="1" applyFill="1" applyBorder="1" applyAlignment="1" applyProtection="1">
      <alignment horizontal="center" vertical="center" wrapText="1"/>
      <protection locked="0"/>
    </xf>
    <xf numFmtId="1" fontId="11" fillId="0" borderId="7" xfId="0" applyNumberFormat="1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 applyProtection="1">
      <alignment horizontal="center" vertical="center"/>
      <protection locked="0"/>
    </xf>
    <xf numFmtId="0" fontId="18" fillId="0" borderId="7" xfId="0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" fontId="11" fillId="0" borderId="11" xfId="0" applyNumberFormat="1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7" fillId="0" borderId="11" xfId="0" applyFont="1" applyBorder="1" applyAlignment="1" applyProtection="1">
      <alignment horizontal="center" vertical="center"/>
      <protection locked="0"/>
    </xf>
    <xf numFmtId="0" fontId="18" fillId="0" borderId="11" xfId="0" applyFont="1" applyFill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17" fillId="0" borderId="4" xfId="0" applyFont="1" applyFill="1" applyBorder="1" applyAlignment="1" applyProtection="1">
      <alignment horizontal="center" vertical="center"/>
      <protection locked="0"/>
    </xf>
    <xf numFmtId="0" fontId="18" fillId="0" borderId="4" xfId="0" applyFont="1" applyFill="1" applyBorder="1" applyAlignment="1" applyProtection="1">
      <alignment horizontal="left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/>
      <protection locked="0"/>
    </xf>
    <xf numFmtId="0" fontId="17" fillId="0" borderId="11" xfId="0" applyFont="1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17" fillId="0" borderId="4" xfId="0" applyFont="1" applyFill="1" applyBorder="1" applyAlignment="1" applyProtection="1">
      <alignment horizontal="center"/>
      <protection locked="0"/>
    </xf>
    <xf numFmtId="0" fontId="10" fillId="0" borderId="9" xfId="0" applyFont="1" applyFill="1" applyBorder="1" applyAlignment="1" applyProtection="1">
      <alignment horizontal="center" vertical="center"/>
      <protection locked="0"/>
    </xf>
    <xf numFmtId="0" fontId="19" fillId="0" borderId="9" xfId="0" applyFont="1" applyFill="1" applyBorder="1" applyAlignment="1" applyProtection="1">
      <alignment horizontal="center" vertical="center"/>
      <protection locked="0"/>
    </xf>
    <xf numFmtId="0" fontId="10" fillId="7" borderId="9" xfId="0" applyFont="1" applyFill="1" applyBorder="1" applyAlignment="1" applyProtection="1">
      <alignment horizontal="center" vertical="center"/>
      <protection locked="0"/>
    </xf>
    <xf numFmtId="44" fontId="4" fillId="7" borderId="4" xfId="2" applyFont="1" applyFill="1" applyBorder="1" applyAlignment="1" applyProtection="1">
      <alignment horizontal="center" vertical="center" wrapText="1"/>
      <protection locked="0"/>
    </xf>
    <xf numFmtId="15" fontId="15" fillId="7" borderId="9" xfId="0" applyNumberFormat="1" applyFont="1" applyFill="1" applyBorder="1" applyAlignment="1" applyProtection="1">
      <alignment horizontal="left" vertical="center" wrapText="1"/>
      <protection locked="0"/>
    </xf>
    <xf numFmtId="44" fontId="4" fillId="4" borderId="6" xfId="2" applyFont="1" applyFill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horizontal="center"/>
      <protection locked="0"/>
    </xf>
    <xf numFmtId="0" fontId="10" fillId="0" borderId="14" xfId="0" applyFont="1" applyBorder="1" applyAlignment="1" applyProtection="1">
      <alignment horizontal="center"/>
      <protection locked="0"/>
    </xf>
    <xf numFmtId="0" fontId="19" fillId="0" borderId="14" xfId="0" applyFont="1" applyBorder="1" applyAlignment="1" applyProtection="1">
      <alignment horizontal="center"/>
      <protection locked="0"/>
    </xf>
    <xf numFmtId="0" fontId="18" fillId="0" borderId="14" xfId="0" applyFont="1" applyFill="1" applyBorder="1" applyAlignment="1" applyProtection="1">
      <alignment horizontal="left" indent="1"/>
      <protection locked="0"/>
    </xf>
    <xf numFmtId="0" fontId="0" fillId="0" borderId="14" xfId="0" applyBorder="1" applyAlignment="1" applyProtection="1">
      <alignment horizontal="center"/>
      <protection locked="0"/>
    </xf>
    <xf numFmtId="43" fontId="0" fillId="0" borderId="14" xfId="1" applyFont="1" applyBorder="1" applyAlignment="1" applyProtection="1">
      <alignment horizontal="center"/>
      <protection locked="0"/>
    </xf>
    <xf numFmtId="44" fontId="0" fillId="0" borderId="15" xfId="2" applyFont="1" applyBorder="1" applyAlignment="1" applyProtection="1">
      <alignment horizontal="center" vertical="center" wrapText="1"/>
      <protection locked="0"/>
    </xf>
    <xf numFmtId="0" fontId="0" fillId="4" borderId="16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4" fillId="4" borderId="17" xfId="0" applyFont="1" applyFill="1" applyBorder="1" applyProtection="1">
      <protection locked="0"/>
    </xf>
    <xf numFmtId="44" fontId="0" fillId="4" borderId="17" xfId="2" applyFont="1" applyFill="1" applyBorder="1" applyAlignment="1" applyProtection="1">
      <alignment horizontal="center"/>
      <protection locked="0"/>
    </xf>
    <xf numFmtId="0" fontId="0" fillId="4" borderId="23" xfId="0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24" xfId="0" applyBorder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43" fontId="0" fillId="0" borderId="0" xfId="1" applyFont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6" borderId="13" xfId="0" applyFill="1" applyBorder="1" applyAlignment="1" applyProtection="1">
      <alignment horizontal="center"/>
      <protection locked="0"/>
    </xf>
    <xf numFmtId="0" fontId="0" fillId="6" borderId="14" xfId="0" applyFill="1" applyBorder="1" applyAlignment="1" applyProtection="1">
      <alignment horizontal="center"/>
      <protection locked="0"/>
    </xf>
    <xf numFmtId="43" fontId="0" fillId="6" borderId="14" xfId="1" applyFont="1" applyFill="1" applyBorder="1" applyAlignment="1" applyProtection="1">
      <alignment horizontal="center"/>
      <protection locked="0"/>
    </xf>
    <xf numFmtId="44" fontId="0" fillId="6" borderId="14" xfId="2" applyFont="1" applyFill="1" applyBorder="1" applyAlignment="1" applyProtection="1">
      <alignment horizontal="center"/>
      <protection locked="0"/>
    </xf>
    <xf numFmtId="44" fontId="0" fillId="6" borderId="15" xfId="2" applyFont="1" applyFill="1" applyBorder="1" applyAlignment="1" applyProtection="1">
      <alignment horizontal="center"/>
      <protection locked="0"/>
    </xf>
    <xf numFmtId="0" fontId="0" fillId="6" borderId="6" xfId="0" applyFill="1" applyBorder="1" applyAlignment="1" applyProtection="1">
      <alignment horizontal="center"/>
      <protection locked="0"/>
    </xf>
    <xf numFmtId="0" fontId="4" fillId="6" borderId="19" xfId="0" applyFont="1" applyFill="1" applyBorder="1" applyProtection="1">
      <protection locked="0"/>
    </xf>
    <xf numFmtId="0" fontId="0" fillId="6" borderId="20" xfId="0" applyFill="1" applyBorder="1" applyAlignment="1" applyProtection="1">
      <alignment horizontal="center"/>
      <protection locked="0"/>
    </xf>
    <xf numFmtId="0" fontId="0" fillId="6" borderId="19" xfId="0" applyFill="1" applyBorder="1" applyAlignment="1" applyProtection="1">
      <alignment horizontal="center"/>
      <protection locked="0"/>
    </xf>
    <xf numFmtId="0" fontId="0" fillId="6" borderId="0" xfId="0" applyFill="1" applyBorder="1" applyAlignment="1" applyProtection="1">
      <alignment horizontal="center"/>
      <protection locked="0"/>
    </xf>
    <xf numFmtId="43" fontId="0" fillId="6" borderId="0" xfId="1" applyFont="1" applyFill="1" applyBorder="1" applyAlignment="1" applyProtection="1">
      <alignment horizontal="center"/>
      <protection locked="0"/>
    </xf>
    <xf numFmtId="44" fontId="0" fillId="6" borderId="0" xfId="2" applyFont="1" applyFill="1" applyBorder="1" applyAlignment="1" applyProtection="1">
      <alignment horizontal="center"/>
      <protection locked="0"/>
    </xf>
    <xf numFmtId="44" fontId="0" fillId="6" borderId="20" xfId="2" applyFont="1" applyFill="1" applyBorder="1" applyAlignment="1" applyProtection="1">
      <alignment horizontal="center"/>
      <protection locked="0"/>
    </xf>
    <xf numFmtId="0" fontId="0" fillId="6" borderId="7" xfId="0" applyFill="1" applyBorder="1" applyAlignment="1" applyProtection="1">
      <alignment horizontal="center"/>
      <protection locked="0"/>
    </xf>
    <xf numFmtId="0" fontId="16" fillId="0" borderId="5" xfId="0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Fill="1" applyBorder="1" applyAlignment="1" applyProtection="1">
      <alignment horizontal="center" vertical="center" wrapText="1"/>
      <protection locked="0"/>
    </xf>
    <xf numFmtId="0" fontId="4" fillId="6" borderId="19" xfId="0" applyFont="1" applyFill="1" applyBorder="1" applyAlignment="1" applyProtection="1">
      <alignment horizontal="left"/>
      <protection locked="0"/>
    </xf>
    <xf numFmtId="0" fontId="4" fillId="6" borderId="20" xfId="0" applyFont="1" applyFill="1" applyBorder="1" applyAlignment="1" applyProtection="1">
      <alignment horizontal="left"/>
      <protection locked="0"/>
    </xf>
    <xf numFmtId="0" fontId="16" fillId="7" borderId="3" xfId="0" applyFont="1" applyFill="1" applyBorder="1" applyAlignment="1" applyProtection="1">
      <alignment horizontal="center" vertical="center" wrapText="1"/>
      <protection locked="0"/>
    </xf>
    <xf numFmtId="44" fontId="4" fillId="4" borderId="3" xfId="2" applyFont="1" applyFill="1" applyBorder="1" applyAlignment="1" applyProtection="1">
      <alignment horizontal="center" vertical="center" wrapText="1"/>
      <protection locked="0"/>
    </xf>
    <xf numFmtId="0" fontId="0" fillId="6" borderId="12" xfId="0" applyFill="1" applyBorder="1" applyAlignment="1" applyProtection="1">
      <alignment horizontal="center"/>
      <protection locked="0"/>
    </xf>
    <xf numFmtId="0" fontId="0" fillId="6" borderId="22" xfId="0" applyFill="1" applyBorder="1" applyAlignment="1" applyProtection="1">
      <alignment horizontal="center"/>
      <protection locked="0"/>
    </xf>
    <xf numFmtId="43" fontId="0" fillId="6" borderId="22" xfId="1" applyFont="1" applyFill="1" applyBorder="1" applyAlignment="1" applyProtection="1">
      <alignment horizontal="center"/>
      <protection locked="0"/>
    </xf>
    <xf numFmtId="44" fontId="0" fillId="6" borderId="22" xfId="2" applyFont="1" applyFill="1" applyBorder="1" applyAlignment="1" applyProtection="1">
      <alignment horizontal="center"/>
      <protection locked="0"/>
    </xf>
    <xf numFmtId="44" fontId="0" fillId="6" borderId="21" xfId="2" applyFont="1" applyFill="1" applyBorder="1" applyAlignment="1" applyProtection="1">
      <alignment horizontal="center"/>
      <protection locked="0"/>
    </xf>
    <xf numFmtId="0" fontId="0" fillId="6" borderId="5" xfId="0" applyFill="1" applyBorder="1" applyAlignment="1" applyProtection="1">
      <alignment horizontal="center"/>
      <protection locked="0"/>
    </xf>
    <xf numFmtId="0" fontId="20" fillId="3" borderId="3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top"/>
    </xf>
    <xf numFmtId="0" fontId="10" fillId="0" borderId="3" xfId="0" applyFont="1" applyFill="1" applyBorder="1" applyAlignment="1">
      <alignment horizontal="center" vertical="top"/>
    </xf>
    <xf numFmtId="0" fontId="10" fillId="0" borderId="6" xfId="0" applyFont="1" applyBorder="1" applyAlignment="1">
      <alignment horizontal="center" vertical="top"/>
    </xf>
    <xf numFmtId="0" fontId="10" fillId="0" borderId="3" xfId="0" applyFont="1" applyFill="1" applyBorder="1" applyAlignment="1">
      <alignment horizontal="center"/>
    </xf>
    <xf numFmtId="0" fontId="10" fillId="0" borderId="5" xfId="0" applyFont="1" applyBorder="1" applyAlignment="1">
      <alignment horizontal="center" vertical="top"/>
    </xf>
    <xf numFmtId="0" fontId="10" fillId="0" borderId="3" xfId="0" applyFont="1" applyBorder="1" applyAlignment="1">
      <alignment horizontal="center" vertical="top"/>
    </xf>
    <xf numFmtId="0" fontId="10" fillId="0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3" borderId="5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center" vertical="top"/>
    </xf>
    <xf numFmtId="0" fontId="10" fillId="0" borderId="6" xfId="0" applyFont="1" applyBorder="1" applyAlignment="1">
      <alignment horizontal="center"/>
    </xf>
    <xf numFmtId="15" fontId="0" fillId="7" borderId="9" xfId="0" applyNumberForma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/>
    </xf>
    <xf numFmtId="0" fontId="10" fillId="0" borderId="9" xfId="0" applyFont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top"/>
    </xf>
    <xf numFmtId="15" fontId="0" fillId="7" borderId="5" xfId="0" applyNumberForma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1" fontId="11" fillId="0" borderId="7" xfId="0" applyNumberFormat="1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18" fillId="0" borderId="7" xfId="0" applyFont="1" applyFill="1" applyBorder="1" applyAlignment="1">
      <alignment horizontal="left" indent="1"/>
    </xf>
    <xf numFmtId="0" fontId="0" fillId="0" borderId="7" xfId="0" applyBorder="1" applyAlignment="1">
      <alignment horizontal="center"/>
    </xf>
    <xf numFmtId="44" fontId="4" fillId="4" borderId="4" xfId="2" applyFont="1" applyFill="1" applyBorder="1" applyAlignment="1">
      <alignment horizontal="center" vertical="center" wrapText="1"/>
    </xf>
    <xf numFmtId="15" fontId="15" fillId="3" borderId="7" xfId="0" applyNumberFormat="1" applyFont="1" applyFill="1" applyBorder="1" applyAlignment="1">
      <alignment horizontal="left" vertical="center" wrapText="1"/>
    </xf>
    <xf numFmtId="0" fontId="0" fillId="0" borderId="0" xfId="0" applyFill="1"/>
    <xf numFmtId="0" fontId="10" fillId="0" borderId="10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 vertical="center"/>
    </xf>
    <xf numFmtId="0" fontId="20" fillId="0" borderId="9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7" borderId="9" xfId="0" applyFont="1" applyFill="1" applyBorder="1" applyAlignment="1">
      <alignment horizontal="center" vertical="center"/>
    </xf>
    <xf numFmtId="44" fontId="4" fillId="0" borderId="4" xfId="2" applyFont="1" applyFill="1" applyBorder="1" applyAlignment="1" applyProtection="1">
      <alignment horizontal="center" vertical="center" wrapText="1"/>
      <protection locked="0"/>
    </xf>
    <xf numFmtId="0" fontId="4" fillId="7" borderId="3" xfId="0" applyFont="1" applyFill="1" applyBorder="1" applyAlignment="1" applyProtection="1">
      <alignment horizontal="center"/>
      <protection locked="0"/>
    </xf>
    <xf numFmtId="0" fontId="21" fillId="0" borderId="5" xfId="0" applyFont="1" applyFill="1" applyBorder="1" applyAlignment="1" applyProtection="1">
      <alignment horizontal="center"/>
      <protection locked="0"/>
    </xf>
    <xf numFmtId="0" fontId="4" fillId="7" borderId="8" xfId="0" applyFont="1" applyFill="1" applyBorder="1" applyAlignment="1" applyProtection="1">
      <alignment horizontal="center" vertical="center"/>
      <protection locked="0"/>
    </xf>
    <xf numFmtId="0" fontId="10" fillId="0" borderId="7" xfId="0" applyFont="1" applyBorder="1" applyAlignment="1">
      <alignment horizontal="center" vertical="center"/>
    </xf>
    <xf numFmtId="43" fontId="0" fillId="0" borderId="7" xfId="1" applyFont="1" applyBorder="1" applyAlignment="1" applyProtection="1">
      <alignment horizontal="center" vertical="center"/>
    </xf>
    <xf numFmtId="0" fontId="19" fillId="0" borderId="4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43" fontId="0" fillId="0" borderId="3" xfId="1" applyFont="1" applyBorder="1" applyAlignment="1" applyProtection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3" fillId="3" borderId="5" xfId="0" applyFont="1" applyFill="1" applyBorder="1" applyAlignment="1" applyProtection="1">
      <alignment horizontal="left" vertical="center"/>
      <protection locked="0"/>
    </xf>
    <xf numFmtId="44" fontId="6" fillId="4" borderId="18" xfId="2" applyFont="1" applyFill="1" applyBorder="1" applyAlignment="1" applyProtection="1">
      <alignment horizontal="center"/>
      <protection locked="0"/>
    </xf>
    <xf numFmtId="0" fontId="0" fillId="0" borderId="9" xfId="0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/>
      <protection locked="0"/>
    </xf>
    <xf numFmtId="43" fontId="0" fillId="3" borderId="3" xfId="1" applyFont="1" applyFill="1" applyBorder="1" applyAlignment="1" applyProtection="1">
      <alignment horizontal="center" vertical="center"/>
    </xf>
    <xf numFmtId="44" fontId="4" fillId="3" borderId="7" xfId="2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/>
      <protection locked="0"/>
    </xf>
    <xf numFmtId="1" fontId="11" fillId="3" borderId="10" xfId="0" applyNumberFormat="1" applyFont="1" applyFill="1" applyBorder="1" applyAlignment="1" applyProtection="1">
      <alignment horizontal="center" vertical="center"/>
      <protection locked="0"/>
    </xf>
    <xf numFmtId="0" fontId="10" fillId="3" borderId="10" xfId="0" applyFont="1" applyFill="1" applyBorder="1" applyAlignment="1" applyProtection="1">
      <alignment horizontal="center"/>
      <protection locked="0"/>
    </xf>
    <xf numFmtId="0" fontId="18" fillId="3" borderId="10" xfId="0" applyFont="1" applyFill="1" applyBorder="1" applyAlignment="1" applyProtection="1">
      <alignment horizontal="left" indent="1"/>
      <protection locked="0"/>
    </xf>
    <xf numFmtId="0" fontId="0" fillId="3" borderId="10" xfId="0" applyFill="1" applyBorder="1" applyAlignment="1" applyProtection="1">
      <alignment horizontal="center"/>
      <protection locked="0"/>
    </xf>
    <xf numFmtId="0" fontId="21" fillId="3" borderId="10" xfId="0" applyFont="1" applyFill="1" applyBorder="1" applyAlignment="1" applyProtection="1">
      <alignment horizontal="center"/>
      <protection locked="0"/>
    </xf>
    <xf numFmtId="15" fontId="21" fillId="3" borderId="7" xfId="0" applyNumberFormat="1" applyFont="1" applyFill="1" applyBorder="1" applyAlignment="1" applyProtection="1">
      <alignment horizontal="center" vertical="center" wrapText="1"/>
      <protection locked="0"/>
    </xf>
    <xf numFmtId="43" fontId="0" fillId="3" borderId="10" xfId="1" applyFont="1" applyFill="1" applyBorder="1" applyAlignment="1" applyProtection="1">
      <alignment horizontal="center" vertical="center"/>
    </xf>
    <xf numFmtId="43" fontId="0" fillId="3" borderId="10" xfId="1" applyFont="1" applyFill="1" applyBorder="1" applyAlignment="1" applyProtection="1">
      <alignment horizontal="center"/>
    </xf>
    <xf numFmtId="44" fontId="0" fillId="3" borderId="10" xfId="2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/>
      <protection locked="0"/>
    </xf>
    <xf numFmtId="0" fontId="10" fillId="0" borderId="9" xfId="0" applyFont="1" applyFill="1" applyBorder="1" applyAlignment="1">
      <alignment horizontal="center"/>
    </xf>
    <xf numFmtId="44" fontId="0" fillId="3" borderId="3" xfId="2" applyFont="1" applyFill="1" applyBorder="1" applyAlignment="1" applyProtection="1">
      <alignment horizontal="center" vertical="center" wrapText="1"/>
    </xf>
    <xf numFmtId="44" fontId="0" fillId="0" borderId="3" xfId="2" applyFont="1" applyBorder="1" applyAlignment="1" applyProtection="1">
      <alignment horizontal="center" vertical="center" wrapText="1"/>
    </xf>
    <xf numFmtId="44" fontId="0" fillId="0" borderId="6" xfId="2" applyFont="1" applyBorder="1" applyAlignment="1" applyProtection="1">
      <alignment horizontal="center" vertical="center" wrapText="1"/>
    </xf>
    <xf numFmtId="44" fontId="0" fillId="0" borderId="4" xfId="2" applyFont="1" applyBorder="1" applyAlignment="1" applyProtection="1">
      <alignment horizontal="center" vertical="center" wrapText="1"/>
    </xf>
    <xf numFmtId="44" fontId="0" fillId="3" borderId="9" xfId="2" applyFont="1" applyFill="1" applyBorder="1" applyAlignment="1" applyProtection="1">
      <alignment horizontal="center" vertical="center" wrapText="1"/>
    </xf>
    <xf numFmtId="44" fontId="0" fillId="3" borderId="5" xfId="2" applyFont="1" applyFill="1" applyBorder="1" applyAlignment="1" applyProtection="1">
      <alignment horizontal="center" vertical="center" wrapText="1"/>
    </xf>
    <xf numFmtId="44" fontId="0" fillId="0" borderId="5" xfId="2" applyFont="1" applyBorder="1" applyAlignment="1" applyProtection="1">
      <alignment horizontal="center" vertical="center" wrapText="1"/>
    </xf>
    <xf numFmtId="44" fontId="0" fillId="0" borderId="5" xfId="2" applyFont="1" applyFill="1" applyBorder="1" applyAlignment="1" applyProtection="1">
      <alignment horizontal="center" vertical="center" wrapText="1"/>
    </xf>
    <xf numFmtId="44" fontId="0" fillId="0" borderId="3" xfId="2" applyFont="1" applyFill="1" applyBorder="1" applyAlignment="1" applyProtection="1">
      <alignment horizontal="center" vertical="center" wrapText="1"/>
    </xf>
    <xf numFmtId="44" fontId="0" fillId="0" borderId="4" xfId="2" applyFont="1" applyFill="1" applyBorder="1" applyAlignment="1" applyProtection="1">
      <alignment horizontal="center" vertical="center" wrapText="1"/>
    </xf>
    <xf numFmtId="44" fontId="0" fillId="3" borderId="10" xfId="2" applyFont="1" applyFill="1" applyBorder="1" applyAlignment="1" applyProtection="1">
      <alignment horizontal="center" vertical="center" wrapText="1"/>
    </xf>
    <xf numFmtId="44" fontId="0" fillId="0" borderId="6" xfId="2" applyFont="1" applyFill="1" applyBorder="1" applyAlignment="1" applyProtection="1">
      <alignment horizontal="center" vertical="center" wrapText="1"/>
    </xf>
    <xf numFmtId="44" fontId="0" fillId="5" borderId="11" xfId="2" applyFont="1" applyFill="1" applyBorder="1" applyAlignment="1" applyProtection="1">
      <alignment horizontal="center" vertical="center" wrapText="1"/>
    </xf>
    <xf numFmtId="44" fontId="0" fillId="0" borderId="9" xfId="2" applyFont="1" applyBorder="1" applyAlignment="1" applyProtection="1">
      <alignment horizontal="center" vertical="center" wrapText="1"/>
    </xf>
    <xf numFmtId="44" fontId="0" fillId="7" borderId="9" xfId="2" applyFont="1" applyFill="1" applyBorder="1" applyAlignment="1" applyProtection="1">
      <alignment horizontal="center" vertical="center" wrapText="1"/>
    </xf>
    <xf numFmtId="44" fontId="0" fillId="7" borderId="5" xfId="2" applyFont="1" applyFill="1" applyBorder="1" applyAlignment="1" applyProtection="1">
      <alignment horizontal="center" vertical="center" wrapText="1"/>
    </xf>
    <xf numFmtId="44" fontId="0" fillId="0" borderId="7" xfId="2" applyFont="1" applyFill="1" applyBorder="1" applyAlignment="1" applyProtection="1">
      <alignment horizontal="center" vertical="center" wrapText="1"/>
    </xf>
    <xf numFmtId="44" fontId="0" fillId="0" borderId="10" xfId="2" applyFont="1" applyFill="1" applyBorder="1" applyAlignment="1" applyProtection="1">
      <alignment horizontal="center" vertical="center" wrapText="1"/>
    </xf>
    <xf numFmtId="44" fontId="21" fillId="0" borderId="9" xfId="2" applyFont="1" applyFill="1" applyBorder="1" applyAlignment="1" applyProtection="1">
      <alignment horizontal="center" vertical="center" wrapText="1"/>
    </xf>
    <xf numFmtId="44" fontId="0" fillId="0" borderId="7" xfId="2" applyFont="1" applyBorder="1" applyAlignment="1" applyProtection="1">
      <alignment horizontal="center" vertical="center" wrapText="1"/>
    </xf>
    <xf numFmtId="44" fontId="0" fillId="0" borderId="10" xfId="2" applyFont="1" applyBorder="1" applyAlignment="1" applyProtection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44" fontId="3" fillId="10" borderId="2" xfId="4" applyFont="1" applyFill="1" applyBorder="1" applyAlignment="1">
      <alignment horizontal="center" vertical="center" wrapText="1"/>
    </xf>
    <xf numFmtId="44" fontId="0" fillId="0" borderId="3" xfId="2" applyFont="1" applyBorder="1" applyAlignment="1" applyProtection="1">
      <alignment horizontal="center"/>
      <protection locked="0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4" fillId="4" borderId="4" xfId="4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/>
    <xf numFmtId="0" fontId="4" fillId="4" borderId="4" xfId="0" applyFont="1" applyFill="1" applyBorder="1" applyAlignment="1">
      <alignment horizont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44" fontId="16" fillId="4" borderId="4" xfId="4" applyFont="1" applyFill="1" applyBorder="1" applyAlignment="1">
      <alignment horizontal="center" vertical="center" wrapText="1"/>
    </xf>
    <xf numFmtId="44" fontId="4" fillId="4" borderId="4" xfId="4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27" fillId="0" borderId="3" xfId="0" applyFont="1" applyBorder="1" applyAlignment="1">
      <alignment horizontal="center"/>
    </xf>
    <xf numFmtId="0" fontId="2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8" borderId="3" xfId="0" applyFont="1" applyFill="1" applyBorder="1" applyAlignment="1">
      <alignment wrapText="1"/>
    </xf>
    <xf numFmtId="0" fontId="6" fillId="8" borderId="6" xfId="0" applyFont="1" applyFill="1" applyBorder="1" applyAlignment="1">
      <alignment wrapText="1"/>
    </xf>
    <xf numFmtId="0" fontId="6" fillId="9" borderId="3" xfId="0" applyFont="1" applyFill="1" applyBorder="1" applyAlignment="1">
      <alignment horizontal="left" vertical="center" wrapText="1"/>
    </xf>
    <xf numFmtId="0" fontId="27" fillId="9" borderId="3" xfId="0" applyFont="1" applyFill="1" applyBorder="1" applyAlignment="1">
      <alignment horizontal="left" vertical="center" wrapText="1"/>
    </xf>
    <xf numFmtId="0" fontId="27" fillId="0" borderId="3" xfId="0" applyFont="1" applyBorder="1" applyAlignment="1">
      <alignment horizontal="left" vertical="center" wrapText="1"/>
    </xf>
    <xf numFmtId="3" fontId="27" fillId="0" borderId="3" xfId="0" applyNumberFormat="1" applyFont="1" applyFill="1" applyBorder="1" applyAlignment="1">
      <alignment horizontal="left" vertical="center" wrapText="1"/>
    </xf>
    <xf numFmtId="0" fontId="27" fillId="0" borderId="3" xfId="0" applyFont="1" applyBorder="1" applyAlignment="1">
      <alignment horizontal="left"/>
    </xf>
    <xf numFmtId="44" fontId="27" fillId="0" borderId="3" xfId="0" applyNumberFormat="1" applyFont="1" applyBorder="1" applyAlignment="1">
      <alignment horizontal="left" vertical="center" wrapText="1"/>
    </xf>
    <xf numFmtId="44" fontId="27" fillId="0" borderId="3" xfId="0" applyNumberFormat="1" applyFont="1" applyBorder="1" applyAlignment="1">
      <alignment horizontal="left"/>
    </xf>
    <xf numFmtId="44" fontId="6" fillId="9" borderId="3" xfId="0" applyNumberFormat="1" applyFont="1" applyFill="1" applyBorder="1" applyAlignment="1">
      <alignment horizontal="left" vertical="center" wrapText="1"/>
    </xf>
    <xf numFmtId="44" fontId="0" fillId="0" borderId="0" xfId="0" applyNumberFormat="1"/>
    <xf numFmtId="44" fontId="4" fillId="11" borderId="4" xfId="4" applyFont="1" applyFill="1" applyBorder="1"/>
    <xf numFmtId="44" fontId="4" fillId="11" borderId="4" xfId="2" applyFont="1" applyFill="1" applyBorder="1" applyAlignment="1" applyProtection="1">
      <alignment horizontal="center" vertical="center" wrapText="1"/>
      <protection locked="0"/>
    </xf>
    <xf numFmtId="44" fontId="4" fillId="11" borderId="3" xfId="0" applyNumberFormat="1" applyFont="1" applyFill="1" applyBorder="1"/>
    <xf numFmtId="44" fontId="0" fillId="3" borderId="7" xfId="2" applyFont="1" applyFill="1" applyBorder="1" applyAlignment="1" applyProtection="1">
      <alignment horizontal="center" vertical="center" wrapText="1"/>
      <protection locked="0"/>
    </xf>
    <xf numFmtId="44" fontId="6" fillId="11" borderId="18" xfId="2" applyFont="1" applyFill="1" applyBorder="1" applyAlignment="1" applyProtection="1">
      <alignment horizontal="center"/>
      <protection locked="0"/>
    </xf>
    <xf numFmtId="44" fontId="4" fillId="11" borderId="4" xfId="0" applyNumberFormat="1" applyFont="1" applyFill="1" applyBorder="1"/>
    <xf numFmtId="44" fontId="4" fillId="11" borderId="9" xfId="0" applyNumberFormat="1" applyFont="1" applyFill="1" applyBorder="1"/>
    <xf numFmtId="44" fontId="4" fillId="11" borderId="9" xfId="0" applyNumberFormat="1" applyFont="1" applyFill="1" applyBorder="1" applyAlignment="1">
      <alignment vertical="center"/>
    </xf>
    <xf numFmtId="44" fontId="4" fillId="11" borderId="9" xfId="0" applyNumberFormat="1" applyFont="1" applyFill="1" applyBorder="1" applyAlignment="1"/>
    <xf numFmtId="44" fontId="7" fillId="11" borderId="4" xfId="0" applyNumberFormat="1" applyFont="1" applyFill="1" applyBorder="1"/>
    <xf numFmtId="0" fontId="28" fillId="9" borderId="3" xfId="0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left" wrapText="1"/>
    </xf>
    <xf numFmtId="0" fontId="0" fillId="0" borderId="0" xfId="0" applyAlignment="1">
      <alignment wrapText="1"/>
    </xf>
    <xf numFmtId="15" fontId="15" fillId="3" borderId="10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7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5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9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10" xfId="0" applyNumberFormat="1" applyFont="1" applyFill="1" applyBorder="1" applyAlignment="1" applyProtection="1">
      <alignment horizontal="center" vertical="center" wrapText="1"/>
      <protection locked="0"/>
    </xf>
    <xf numFmtId="15" fontId="15" fillId="3" borderId="7" xfId="0" applyNumberFormat="1" applyFont="1" applyFill="1" applyBorder="1" applyAlignment="1" applyProtection="1">
      <alignment horizontal="center" vertical="center" wrapText="1"/>
      <protection locked="0"/>
    </xf>
    <xf numFmtId="15" fontId="15" fillId="3" borderId="9" xfId="0" applyNumberFormat="1" applyFont="1" applyFill="1" applyBorder="1" applyAlignment="1" applyProtection="1">
      <alignment horizontal="center" vertical="center" wrapText="1"/>
      <protection locked="0"/>
    </xf>
    <xf numFmtId="15" fontId="15" fillId="3" borderId="10" xfId="0" applyNumberFormat="1" applyFont="1" applyFill="1" applyBorder="1" applyAlignment="1" applyProtection="1">
      <alignment vertical="center" wrapText="1"/>
      <protection locked="0"/>
    </xf>
    <xf numFmtId="15" fontId="15" fillId="3" borderId="7" xfId="0" applyNumberFormat="1" applyFont="1" applyFill="1" applyBorder="1" applyAlignment="1" applyProtection="1">
      <alignment vertical="center" wrapText="1"/>
      <protection locked="0"/>
    </xf>
    <xf numFmtId="15" fontId="15" fillId="3" borderId="9" xfId="0" applyNumberFormat="1" applyFont="1" applyFill="1" applyBorder="1" applyAlignment="1" applyProtection="1">
      <alignment vertical="center" wrapText="1"/>
      <protection locked="0"/>
    </xf>
    <xf numFmtId="15" fontId="15" fillId="3" borderId="5" xfId="0" applyNumberFormat="1" applyFont="1" applyFill="1" applyBorder="1" applyAlignment="1" applyProtection="1">
      <alignment vertical="center" wrapText="1"/>
      <protection locked="0"/>
    </xf>
    <xf numFmtId="15" fontId="15" fillId="3" borderId="6" xfId="0" applyNumberFormat="1" applyFont="1" applyFill="1" applyBorder="1" applyAlignment="1" applyProtection="1">
      <alignment horizontal="left" vertical="center" wrapText="1"/>
      <protection locked="0"/>
    </xf>
    <xf numFmtId="15" fontId="15" fillId="3" borderId="20" xfId="0" applyNumberFormat="1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15" fontId="15" fillId="3" borderId="6" xfId="0" applyNumberFormat="1" applyFont="1" applyFill="1" applyBorder="1" applyAlignment="1" applyProtection="1">
      <alignment horizontal="center" vertical="center" wrapText="1"/>
      <protection locked="0"/>
    </xf>
    <xf numFmtId="17" fontId="8" fillId="0" borderId="0" xfId="0" applyNumberFormat="1" applyFont="1" applyAlignment="1" applyProtection="1">
      <alignment horizontal="center" vertical="center"/>
      <protection locked="0"/>
    </xf>
    <xf numFmtId="44" fontId="3" fillId="10" borderId="25" xfId="4" applyFont="1" applyFill="1" applyBorder="1" applyAlignment="1">
      <alignment horizontal="center" vertical="center" wrapText="1"/>
    </xf>
    <xf numFmtId="44" fontId="3" fillId="10" borderId="26" xfId="4" applyFont="1" applyFill="1" applyBorder="1" applyAlignment="1">
      <alignment horizontal="center" vertical="center" wrapText="1"/>
    </xf>
    <xf numFmtId="44" fontId="3" fillId="10" borderId="27" xfId="4" applyFont="1" applyFill="1" applyBorder="1" applyAlignment="1">
      <alignment horizontal="center" vertical="center" wrapText="1"/>
    </xf>
    <xf numFmtId="43" fontId="23" fillId="4" borderId="17" xfId="1" applyFont="1" applyFill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center" vertical="center" textRotation="90"/>
      <protection locked="0"/>
    </xf>
    <xf numFmtId="0" fontId="7" fillId="0" borderId="7" xfId="0" applyFont="1" applyBorder="1" applyAlignment="1" applyProtection="1">
      <alignment horizontal="center" vertical="center" textRotation="90"/>
      <protection locked="0"/>
    </xf>
    <xf numFmtId="0" fontId="7" fillId="0" borderId="5" xfId="0" applyFont="1" applyBorder="1" applyAlignment="1" applyProtection="1">
      <alignment horizontal="center" vertical="center" textRotation="90"/>
      <protection locked="0"/>
    </xf>
    <xf numFmtId="0" fontId="4" fillId="6" borderId="13" xfId="0" applyFont="1" applyFill="1" applyBorder="1" applyAlignment="1" applyProtection="1">
      <alignment horizontal="left"/>
      <protection locked="0"/>
    </xf>
    <xf numFmtId="0" fontId="4" fillId="6" borderId="15" xfId="0" applyFont="1" applyFill="1" applyBorder="1" applyAlignment="1" applyProtection="1">
      <alignment horizontal="left"/>
      <protection locked="0"/>
    </xf>
    <xf numFmtId="0" fontId="4" fillId="6" borderId="19" xfId="0" applyFont="1" applyFill="1" applyBorder="1" applyAlignment="1" applyProtection="1">
      <alignment horizontal="left"/>
      <protection locked="0"/>
    </xf>
    <xf numFmtId="0" fontId="4" fillId="6" borderId="20" xfId="0" applyFont="1" applyFill="1" applyBorder="1" applyAlignment="1" applyProtection="1">
      <alignment horizontal="left"/>
      <protection locked="0"/>
    </xf>
    <xf numFmtId="0" fontId="4" fillId="6" borderId="19" xfId="0" applyFont="1" applyFill="1" applyBorder="1" applyAlignment="1" applyProtection="1">
      <alignment horizontal="left" vertical="top" wrapText="1"/>
      <protection locked="0"/>
    </xf>
    <xf numFmtId="0" fontId="4" fillId="6" borderId="20" xfId="0" applyFont="1" applyFill="1" applyBorder="1" applyAlignment="1" applyProtection="1">
      <alignment horizontal="left" vertical="top" wrapText="1"/>
      <protection locked="0"/>
    </xf>
    <xf numFmtId="0" fontId="4" fillId="6" borderId="12" xfId="0" applyFont="1" applyFill="1" applyBorder="1" applyAlignment="1" applyProtection="1">
      <alignment horizontal="left"/>
      <protection locked="0"/>
    </xf>
    <xf numFmtId="0" fontId="4" fillId="6" borderId="21" xfId="0" applyFont="1" applyFill="1" applyBorder="1" applyAlignment="1" applyProtection="1">
      <alignment horizontal="left"/>
      <protection locked="0"/>
    </xf>
    <xf numFmtId="0" fontId="6" fillId="8" borderId="28" xfId="0" applyFont="1" applyFill="1" applyBorder="1" applyAlignment="1">
      <alignment horizontal="center" wrapText="1"/>
    </xf>
    <xf numFmtId="0" fontId="6" fillId="8" borderId="29" xfId="0" applyFont="1" applyFill="1" applyBorder="1" applyAlignment="1">
      <alignment horizontal="center" wrapText="1"/>
    </xf>
    <xf numFmtId="0" fontId="6" fillId="8" borderId="30" xfId="0" applyFont="1" applyFill="1" applyBorder="1" applyAlignment="1">
      <alignment horizontal="center" wrapText="1"/>
    </xf>
    <xf numFmtId="0" fontId="27" fillId="0" borderId="28" xfId="0" applyFont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</cellXfs>
  <cellStyles count="5">
    <cellStyle name="Millares" xfId="1" builtinId="3"/>
    <cellStyle name="Millares 2" xfId="3"/>
    <cellStyle name="Moneda" xfId="2" builtinId="4"/>
    <cellStyle name="Moneda 2" xf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57149</xdr:colOff>
      <xdr:row>0</xdr:row>
      <xdr:rowOff>24063</xdr:rowOff>
    </xdr:from>
    <xdr:to>
      <xdr:col>2</xdr:col>
      <xdr:colOff>658090</xdr:colOff>
      <xdr:row>2</xdr:row>
      <xdr:rowOff>236073</xdr:rowOff>
    </xdr:to>
    <xdr:pic>
      <xdr:nvPicPr>
        <xdr:cNvPr id="7" name="8 Imagen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24063"/>
          <a:ext cx="1631373" cy="601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432435</xdr:colOff>
      <xdr:row>0</xdr:row>
      <xdr:rowOff>0</xdr:rowOff>
    </xdr:from>
    <xdr:to>
      <xdr:col>17</xdr:col>
      <xdr:colOff>1072516</xdr:colOff>
      <xdr:row>2</xdr:row>
      <xdr:rowOff>209606</xdr:rowOff>
    </xdr:to>
    <xdr:pic>
      <xdr:nvPicPr>
        <xdr:cNvPr id="8" name="7 Imagen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4060" y="0"/>
          <a:ext cx="640081" cy="602512"/>
        </a:xfrm>
        <a:prstGeom prst="rect">
          <a:avLst/>
        </a:prstGeom>
      </xdr:spPr>
    </xdr:pic>
    <xdr:clientData/>
  </xdr:twoCellAnchor>
</xdr:wsDr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2.xml"/><Relationship Id="rId54" Type="http://schemas.openxmlformats.org/officeDocument/2006/relationships/revisionLog" Target="revisionLog1.xml"/><Relationship Id="rId58" Type="http://schemas.openxmlformats.org/officeDocument/2006/relationships/revisionLog" Target="revisionLog5.xml"/><Relationship Id="rId57" Type="http://schemas.openxmlformats.org/officeDocument/2006/relationships/revisionLog" Target="revisionLog4.xml"/><Relationship Id="rId56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8F2B11F-D6F6-44A8-B271-58F686BF1123}" diskRevisions="1" revisionId="604" version="5" protected="1">
  <header guid="{0505E94A-13A2-4A97-8054-2B3E00C2A29F}" dateTime="2021-04-27T12:24:41" maxSheetId="3" userName="blanca Lopez" r:id="rId54" minRId="598" maxRId="599">
    <sheetIdMap count="2">
      <sheetId val="1"/>
      <sheetId val="2"/>
    </sheetIdMap>
  </header>
  <header guid="{FACE37FD-B365-4B56-B42E-7A419FE906B4}" dateTime="2021-05-13T11:20:58" maxSheetId="3" userName="MIGUEL" r:id="rId55">
    <sheetIdMap count="2">
      <sheetId val="1"/>
      <sheetId val="2"/>
    </sheetIdMap>
  </header>
  <header guid="{F2615299-9990-42F3-864A-0358A78B11B9}" dateTime="2021-05-13T13:33:30" maxSheetId="3" userName="MIGUEL" r:id="rId56">
    <sheetIdMap count="2">
      <sheetId val="1"/>
      <sheetId val="2"/>
    </sheetIdMap>
  </header>
  <header guid="{8C5A2F79-18AE-4D45-B26B-FA93F5FC8C52}" dateTime="2021-05-13T13:34:59" maxSheetId="4" userName="MIGUEL" r:id="rId57" minRId="602">
    <sheetIdMap count="3">
      <sheetId val="1"/>
      <sheetId val="2"/>
      <sheetId val="3"/>
    </sheetIdMap>
  </header>
  <header guid="{18F2B11F-D6F6-44A8-B271-58F686BF1123}" dateTime="2021-05-14T12:00:16" maxSheetId="4" userName="MIGUEL" r:id="rId58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98" sId="2">
    <oc r="C3" t="inlineStr">
      <is>
        <t>A  PARTIR DE LAS 12:00 HORAS DEL DIA 16 DE ABRIL DEL 2021 HASTA LAS 12:00 HORAS DEL 16 DE ABRIL 2022</t>
      </is>
    </oc>
    <nc r="C3" t="inlineStr">
      <is>
        <t>A  PARTIR DE LAS 12:00 HORAS DEL DIA 16 DE JUNIO DEL 2021 HASTA LAS 12:00 HORAS DEL 16 DE 16 JUNIO 2022</t>
      </is>
    </nc>
  </rcc>
  <rcc rId="599" sId="2">
    <oc r="D20" t="inlineStr">
      <is>
        <t>EL 50% DEL CONTRATO A LOS 30 DIAS DEL INICIO DE LA VIGENCIA TODA VEZ QUE SEA ENVIADA LA POLIZA Y LA FACTURA Y EL OTRO 50 % A LOS SEIS MESES  DESPUES DEL PRIMER PAGO</t>
      </is>
    </oc>
    <nc r="D20" t="inlineStr">
      <is>
        <t>EL 50% DEL CONTRATO A LOS 30 DIAS DEL INICIO DE LA VIGENCIA TODA VEZ QUE SEA ENVIADA LA POLIZA Y LA FACTURA Y EL OTRO 50 % A LOS CINCO MESES  DESPUES DEL PRIMER PAGO</t>
      </is>
    </nc>
  </rcc>
  <rcv guid="{A672F5D4-E0DD-46EC-9005-3B368E079EB9}" action="delete"/>
  <rdn rId="0" localSheetId="1" customView="1" name="Z_A672F5D4_E0DD_46EC_9005_3B368E079EB9_.wvu.PrintTitles" hidden="1" oldHidden="1">
    <formula>'EDIFICIOS '!$1:$5</formula>
    <oldFormula>'EDIFICIOS '!$1:$5</oldFormula>
  </rdn>
  <rcv guid="{A672F5D4-E0DD-46EC-9005-3B368E079EB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1" customView="1" name="Z_09B2094C_19D8_47E1_AF56_545D1F5AA0A8_.wvu.PrintTitles" hidden="1" oldHidden="1">
    <formula>'EDIFICIOS '!$1:$5</formula>
  </rdn>
  <rcv guid="{09B2094C-19D8-47E1-AF56-545D1F5AA0A8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2" sqref="D8:E8">
    <dxf>
      <alignment wrapText="1" readingOrder="0"/>
    </dxf>
  </rfmt>
  <rfmt sheetId="2" sqref="D14:E14">
    <dxf>
      <alignment wrapText="1" readingOrder="0"/>
    </dxf>
  </rfmt>
  <rfmt sheetId="2" sqref="D20">
    <dxf>
      <alignment wrapText="0" readingOrder="0"/>
    </dxf>
  </rfmt>
  <rfmt sheetId="2" sqref="D20:J20">
    <dxf>
      <alignment wrapText="1" readingOrder="0"/>
    </dxf>
  </rfmt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is rId="602" sheetId="3" name="[MODIFICADO TABLA DE VALORES CECYTE 2021 MA LEE (7).xlsx]Hoja1" sheetPosition="2"/>
  <rcv guid="{09B2094C-19D8-47E1-AF56-545D1F5AA0A8}" action="delete"/>
  <rdn rId="0" localSheetId="1" customView="1" name="Z_09B2094C_19D8_47E1_AF56_545D1F5AA0A8_.wvu.PrintTitles" hidden="1" oldHidden="1">
    <formula>'EDIFICIOS '!$1:$5</formula>
    <oldFormula>'EDIFICIOS '!$1:$5</oldFormula>
  </rdn>
  <rcv guid="{09B2094C-19D8-47E1-AF56-545D1F5AA0A8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09B2094C-19D8-47E1-AF56-545D1F5AA0A8}" action="delete"/>
  <rdn rId="0" localSheetId="1" customView="1" name="Z_09B2094C_19D8_47E1_AF56_545D1F5AA0A8_.wvu.PrintTitles" hidden="1" oldHidden="1">
    <formula>'EDIFICIOS '!$1:$5</formula>
    <oldFormula>'EDIFICIOS '!$1:$5</oldFormula>
  </rdn>
  <rcv guid="{09B2094C-19D8-47E1-AF56-545D1F5AA0A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comments" Target="../comments1.xml"/><Relationship Id="rId5" Type="http://schemas.openxmlformats.org/officeDocument/2006/relationships/printerSettings" Target="../printerSettings/printerSettings5.bin"/><Relationship Id="rId10" Type="http://schemas.openxmlformats.org/officeDocument/2006/relationships/vmlDrawing" Target="../drawings/vmlDrawing1.vml"/><Relationship Id="rId4" Type="http://schemas.openxmlformats.org/officeDocument/2006/relationships/printerSettings" Target="../printerSettings/printerSettings4.bin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1.bin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217"/>
  <sheetViews>
    <sheetView tabSelected="1" zoomScale="60" zoomScaleNormal="60" workbookViewId="0">
      <pane ySplit="5" topLeftCell="A6" activePane="bottomLeft" state="frozen"/>
      <selection activeCell="E1" sqref="E1"/>
      <selection pane="bottomLeft" activeCell="D3" sqref="D3:J3"/>
    </sheetView>
  </sheetViews>
  <sheetFormatPr baseColWidth="10" defaultColWidth="11.42578125" defaultRowHeight="15" x14ac:dyDescent="0.25"/>
  <cols>
    <col min="1" max="1" width="4.140625" style="355" customWidth="1"/>
    <col min="2" max="2" width="11.28515625" style="355" customWidth="1"/>
    <col min="3" max="3" width="15.28515625" style="355" customWidth="1"/>
    <col min="4" max="4" width="47.7109375" style="357" customWidth="1"/>
    <col min="5" max="5" width="10.7109375" style="355" customWidth="1"/>
    <col min="6" max="6" width="27.140625" style="355" customWidth="1"/>
    <col min="7" max="7" width="10.42578125" style="355" customWidth="1"/>
    <col min="8" max="8" width="14.42578125" style="355" customWidth="1"/>
    <col min="9" max="9" width="25.42578125" style="355" customWidth="1"/>
    <col min="10" max="10" width="12" style="358" bestFit="1" customWidth="1"/>
    <col min="11" max="11" width="12.5703125" style="358" customWidth="1"/>
    <col min="12" max="12" width="17.5703125" style="231" customWidth="1"/>
    <col min="13" max="14" width="24.7109375" style="231" customWidth="1"/>
    <col min="15" max="15" width="25.140625" style="231" customWidth="1"/>
    <col min="16" max="17" width="24.7109375" style="231" customWidth="1"/>
    <col min="18" max="18" width="25.7109375" style="355" customWidth="1"/>
    <col min="19" max="19" width="5.42578125" style="72" customWidth="1"/>
    <col min="20" max="33" width="11.42578125" style="72"/>
    <col min="34" max="16384" width="11.42578125" style="73"/>
  </cols>
  <sheetData>
    <row r="1" spans="1:35" s="39" customFormat="1" ht="15" customHeight="1" x14ac:dyDescent="0.3">
      <c r="D1" s="555" t="s">
        <v>0</v>
      </c>
      <c r="E1" s="555"/>
      <c r="F1" s="555"/>
      <c r="G1" s="555"/>
      <c r="H1" s="555"/>
      <c r="I1" s="555"/>
      <c r="J1" s="555"/>
      <c r="K1" s="40"/>
      <c r="L1" s="41"/>
      <c r="M1" s="41"/>
      <c r="N1" s="41"/>
      <c r="O1" s="41"/>
      <c r="P1" s="41"/>
      <c r="Q1" s="41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</row>
    <row r="2" spans="1:35" s="39" customFormat="1" ht="15.75" customHeight="1" thickBot="1" x14ac:dyDescent="0.35">
      <c r="D2" s="556" t="s">
        <v>225</v>
      </c>
      <c r="E2" s="556"/>
      <c r="F2" s="556"/>
      <c r="G2" s="556"/>
      <c r="H2" s="556"/>
      <c r="I2" s="556"/>
      <c r="J2" s="556"/>
      <c r="K2" s="43"/>
      <c r="L2" s="41"/>
      <c r="M2" s="41"/>
      <c r="N2" s="41"/>
      <c r="O2" s="41"/>
      <c r="P2" s="41"/>
      <c r="Q2" s="41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</row>
    <row r="3" spans="1:35" s="48" customFormat="1" ht="18.75" customHeight="1" thickTop="1" thickBot="1" x14ac:dyDescent="0.3">
      <c r="A3" s="44"/>
      <c r="B3" s="44"/>
      <c r="C3" s="44"/>
      <c r="D3" s="558">
        <v>44013</v>
      </c>
      <c r="E3" s="556"/>
      <c r="F3" s="556"/>
      <c r="G3" s="556"/>
      <c r="H3" s="556"/>
      <c r="I3" s="556"/>
      <c r="J3" s="556"/>
      <c r="K3" s="45"/>
      <c r="L3" s="46"/>
      <c r="M3" s="46"/>
      <c r="N3" s="559" t="s">
        <v>241</v>
      </c>
      <c r="O3" s="560"/>
      <c r="P3" s="560"/>
      <c r="Q3" s="561"/>
      <c r="R3" s="44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</row>
    <row r="4" spans="1:35" s="56" customFormat="1" ht="61.5" customHeight="1" thickTop="1" thickBot="1" x14ac:dyDescent="0.3">
      <c r="A4" s="49" t="s">
        <v>1</v>
      </c>
      <c r="B4" s="49" t="s">
        <v>2</v>
      </c>
      <c r="C4" s="49" t="s">
        <v>3</v>
      </c>
      <c r="D4" s="50" t="s">
        <v>4</v>
      </c>
      <c r="E4" s="50" t="s">
        <v>5</v>
      </c>
      <c r="F4" s="49" t="s">
        <v>6</v>
      </c>
      <c r="G4" s="51" t="s">
        <v>7</v>
      </c>
      <c r="H4" s="482" t="s">
        <v>231</v>
      </c>
      <c r="I4" s="49" t="s">
        <v>8</v>
      </c>
      <c r="J4" s="52" t="s">
        <v>9</v>
      </c>
      <c r="K4" s="52" t="s">
        <v>10</v>
      </c>
      <c r="L4" s="53" t="s">
        <v>11</v>
      </c>
      <c r="M4" s="53" t="s">
        <v>12</v>
      </c>
      <c r="N4" s="483" t="s">
        <v>242</v>
      </c>
      <c r="O4" s="483" t="s">
        <v>243</v>
      </c>
      <c r="P4" s="483" t="s">
        <v>244</v>
      </c>
      <c r="Q4" s="483" t="s">
        <v>245</v>
      </c>
      <c r="R4" s="49" t="s">
        <v>178</v>
      </c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4"/>
      <c r="AH4" s="55"/>
      <c r="AI4" s="55"/>
    </row>
    <row r="5" spans="1:35" s="63" customFormat="1" ht="5.25" customHeight="1" thickTop="1" x14ac:dyDescent="0.25">
      <c r="A5" s="57"/>
      <c r="B5" s="57"/>
      <c r="C5" s="57"/>
      <c r="D5" s="58"/>
      <c r="E5" s="57"/>
      <c r="F5" s="57"/>
      <c r="G5" s="57"/>
      <c r="H5" s="57"/>
      <c r="I5" s="59"/>
      <c r="J5" s="60"/>
      <c r="K5" s="60"/>
      <c r="L5" s="61"/>
      <c r="M5" s="61"/>
      <c r="N5" s="61"/>
      <c r="O5" s="61"/>
      <c r="P5" s="61"/>
      <c r="Q5" s="61"/>
      <c r="R5" s="59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</row>
    <row r="6" spans="1:35" x14ac:dyDescent="0.25">
      <c r="A6" s="64">
        <v>1</v>
      </c>
      <c r="B6" s="65" t="s">
        <v>13</v>
      </c>
      <c r="C6" s="66" t="s">
        <v>14</v>
      </c>
      <c r="D6" s="67" t="s">
        <v>15</v>
      </c>
      <c r="E6" s="68" t="s">
        <v>16</v>
      </c>
      <c r="F6" s="68" t="s">
        <v>17</v>
      </c>
      <c r="G6" s="69">
        <v>2</v>
      </c>
      <c r="H6" s="386" t="s">
        <v>232</v>
      </c>
      <c r="I6" s="70" t="s">
        <v>180</v>
      </c>
      <c r="J6" s="1">
        <f>992.33+1211.83</f>
        <v>2204.16</v>
      </c>
      <c r="K6" s="1">
        <f>7594.1*1.5</f>
        <v>11391.150000000001</v>
      </c>
      <c r="L6" s="461">
        <f>J6*K6</f>
        <v>25107917.184</v>
      </c>
      <c r="M6" s="71"/>
      <c r="N6" s="71"/>
      <c r="O6" s="71"/>
      <c r="P6" s="71"/>
      <c r="Q6" s="71"/>
      <c r="R6" s="557" t="s">
        <v>182</v>
      </c>
    </row>
    <row r="7" spans="1:35" ht="30" x14ac:dyDescent="0.25">
      <c r="A7" s="74"/>
      <c r="B7" s="75"/>
      <c r="C7" s="76"/>
      <c r="D7" s="77"/>
      <c r="E7" s="78"/>
      <c r="F7" s="78" t="s">
        <v>19</v>
      </c>
      <c r="G7" s="79">
        <v>2</v>
      </c>
      <c r="H7" s="387">
        <v>2011</v>
      </c>
      <c r="I7" s="80" t="s">
        <v>181</v>
      </c>
      <c r="J7" s="2">
        <f>278.16+307.31</f>
        <v>585.47</v>
      </c>
      <c r="K7" s="2">
        <f>7594.1*1.5</f>
        <v>11391.150000000001</v>
      </c>
      <c r="L7" s="462">
        <f>J7*K7</f>
        <v>6669176.5905000009</v>
      </c>
      <c r="M7" s="81"/>
      <c r="N7" s="81"/>
      <c r="O7" s="81"/>
      <c r="P7" s="81"/>
      <c r="Q7" s="81"/>
      <c r="R7" s="547"/>
    </row>
    <row r="8" spans="1:35" x14ac:dyDescent="0.25">
      <c r="A8" s="82"/>
      <c r="B8" s="83"/>
      <c r="C8" s="84"/>
      <c r="D8" s="85"/>
      <c r="E8" s="86"/>
      <c r="F8" s="87" t="s">
        <v>21</v>
      </c>
      <c r="G8" s="88" t="s">
        <v>22</v>
      </c>
      <c r="H8" s="387">
        <v>2013</v>
      </c>
      <c r="I8" s="89" t="s">
        <v>23</v>
      </c>
      <c r="J8" s="3">
        <v>133.78</v>
      </c>
      <c r="K8" s="3">
        <v>2195.14</v>
      </c>
      <c r="L8" s="463">
        <f>J8*K8</f>
        <v>293665.82919999998</v>
      </c>
      <c r="M8" s="90"/>
      <c r="N8" s="90"/>
      <c r="O8" s="90"/>
      <c r="P8" s="90"/>
      <c r="Q8" s="90"/>
      <c r="R8" s="547"/>
    </row>
    <row r="9" spans="1:35" ht="15.75" thickBot="1" x14ac:dyDescent="0.3">
      <c r="A9" s="91"/>
      <c r="B9" s="92"/>
      <c r="C9" s="93"/>
      <c r="D9" s="94"/>
      <c r="E9" s="95"/>
      <c r="F9" s="96" t="s">
        <v>21</v>
      </c>
      <c r="G9" s="97" t="s">
        <v>22</v>
      </c>
      <c r="H9" s="392">
        <v>2013</v>
      </c>
      <c r="I9" s="98" t="s">
        <v>23</v>
      </c>
      <c r="J9" s="4">
        <v>133.78</v>
      </c>
      <c r="K9" s="4">
        <v>2195.14</v>
      </c>
      <c r="L9" s="464">
        <f>J9*K9</f>
        <v>293665.82919999998</v>
      </c>
      <c r="M9" s="99">
        <f>SUM(L6:L9)</f>
        <v>32364425.4329</v>
      </c>
      <c r="N9" s="485">
        <f>M9</f>
        <v>32364425.4329</v>
      </c>
      <c r="O9" s="534">
        <f>11750512.71+4555843.29</f>
        <v>16306356</v>
      </c>
      <c r="P9" s="486">
        <v>1000000</v>
      </c>
      <c r="Q9" s="487" t="s">
        <v>246</v>
      </c>
      <c r="R9" s="548"/>
    </row>
    <row r="10" spans="1:35" ht="16.5" thickTop="1" thickBot="1" x14ac:dyDescent="0.3">
      <c r="A10" s="100">
        <v>2</v>
      </c>
      <c r="B10" s="101" t="s">
        <v>90</v>
      </c>
      <c r="C10" s="102" t="s">
        <v>14</v>
      </c>
      <c r="D10" s="103" t="s">
        <v>216</v>
      </c>
      <c r="E10" s="104" t="s">
        <v>16</v>
      </c>
      <c r="F10" s="104" t="s">
        <v>219</v>
      </c>
      <c r="G10" s="105" t="s">
        <v>65</v>
      </c>
      <c r="H10" s="388">
        <v>2008</v>
      </c>
      <c r="I10" s="106" t="s">
        <v>66</v>
      </c>
      <c r="J10" s="5">
        <v>181.17</v>
      </c>
      <c r="K10" s="5">
        <v>6529.6</v>
      </c>
      <c r="L10" s="465">
        <f t="shared" ref="L10" si="0">J10*K10</f>
        <v>1182967.632</v>
      </c>
      <c r="M10" s="107">
        <f>L10</f>
        <v>1182967.632</v>
      </c>
      <c r="N10" s="485">
        <v>1182967.632</v>
      </c>
      <c r="O10" s="537">
        <v>594954.17000000004</v>
      </c>
      <c r="P10" s="486">
        <v>500000</v>
      </c>
      <c r="Q10" s="487" t="s">
        <v>246</v>
      </c>
      <c r="R10" s="108" t="s">
        <v>217</v>
      </c>
    </row>
    <row r="11" spans="1:35" s="237" customFormat="1" ht="38.25" customHeight="1" thickTop="1" x14ac:dyDescent="0.25">
      <c r="A11" s="109">
        <v>3</v>
      </c>
      <c r="B11" s="110" t="s">
        <v>13</v>
      </c>
      <c r="C11" s="233" t="s">
        <v>24</v>
      </c>
      <c r="D11" s="443" t="s">
        <v>25</v>
      </c>
      <c r="E11" s="112" t="s">
        <v>26</v>
      </c>
      <c r="F11" s="112" t="s">
        <v>165</v>
      </c>
      <c r="G11" s="113">
        <v>2</v>
      </c>
      <c r="H11" s="389" t="s">
        <v>233</v>
      </c>
      <c r="I11" s="114" t="s">
        <v>18</v>
      </c>
      <c r="J11" s="6">
        <f>729.2+166.24</f>
        <v>895.44</v>
      </c>
      <c r="K11" s="6">
        <v>8345.6299999999992</v>
      </c>
      <c r="L11" s="466">
        <f>J11*K11</f>
        <v>7473010.9271999998</v>
      </c>
      <c r="M11" s="115"/>
      <c r="N11" s="115"/>
      <c r="O11" s="115"/>
      <c r="P11" s="115"/>
      <c r="Q11" s="115"/>
      <c r="R11" s="542" t="s">
        <v>183</v>
      </c>
      <c r="S11" s="236"/>
      <c r="T11" s="236"/>
      <c r="U11" s="236"/>
      <c r="V11" s="236"/>
      <c r="W11" s="236"/>
      <c r="X11" s="236"/>
      <c r="Y11" s="236"/>
      <c r="Z11" s="236"/>
      <c r="AA11" s="236"/>
      <c r="AB11" s="236"/>
      <c r="AC11" s="236"/>
      <c r="AD11" s="236"/>
      <c r="AE11" s="236"/>
      <c r="AF11" s="236"/>
      <c r="AG11" s="236"/>
    </row>
    <row r="12" spans="1:35" x14ac:dyDescent="0.25">
      <c r="A12" s="116"/>
      <c r="B12" s="75"/>
      <c r="C12" s="117"/>
      <c r="D12" s="118"/>
      <c r="E12" s="78"/>
      <c r="F12" s="78" t="s">
        <v>164</v>
      </c>
      <c r="G12" s="119">
        <v>3</v>
      </c>
      <c r="H12" s="390">
        <v>2006</v>
      </c>
      <c r="I12" s="80" t="s">
        <v>20</v>
      </c>
      <c r="J12" s="2">
        <f>335.54*3</f>
        <v>1006.6200000000001</v>
      </c>
      <c r="K12" s="2">
        <f>5408.75*1.2</f>
        <v>6490.5</v>
      </c>
      <c r="L12" s="467">
        <f t="shared" ref="L12:L84" si="1">J12*K12</f>
        <v>6533467.1100000003</v>
      </c>
      <c r="M12" s="120"/>
      <c r="N12" s="120"/>
      <c r="O12" s="120"/>
      <c r="P12" s="120"/>
      <c r="Q12" s="120"/>
      <c r="R12" s="543"/>
    </row>
    <row r="13" spans="1:35" x14ac:dyDescent="0.25">
      <c r="A13" s="116"/>
      <c r="B13" s="75"/>
      <c r="C13" s="117"/>
      <c r="D13" s="118"/>
      <c r="E13" s="78"/>
      <c r="F13" s="78" t="s">
        <v>57</v>
      </c>
      <c r="G13" s="119">
        <v>3</v>
      </c>
      <c r="H13" s="390">
        <v>2003</v>
      </c>
      <c r="I13" s="80" t="s">
        <v>20</v>
      </c>
      <c r="J13" s="2">
        <f>335.73*3</f>
        <v>1007.19</v>
      </c>
      <c r="K13" s="2">
        <f>5408.75*1.2</f>
        <v>6490.5</v>
      </c>
      <c r="L13" s="467">
        <f t="shared" si="1"/>
        <v>6537166.6950000003</v>
      </c>
      <c r="M13" s="120"/>
      <c r="N13" s="120"/>
      <c r="O13" s="120"/>
      <c r="P13" s="120"/>
      <c r="Q13" s="120"/>
      <c r="R13" s="543"/>
    </row>
    <row r="14" spans="1:35" x14ac:dyDescent="0.25">
      <c r="A14" s="116"/>
      <c r="B14" s="75"/>
      <c r="C14" s="117"/>
      <c r="D14" s="118"/>
      <c r="E14" s="78"/>
      <c r="F14" s="78" t="s">
        <v>58</v>
      </c>
      <c r="G14" s="119">
        <v>3</v>
      </c>
      <c r="H14" s="390">
        <v>2004</v>
      </c>
      <c r="I14" s="80" t="s">
        <v>20</v>
      </c>
      <c r="J14" s="2">
        <f>252.3*3</f>
        <v>756.90000000000009</v>
      </c>
      <c r="K14" s="2">
        <f>5408.75*1.3</f>
        <v>7031.375</v>
      </c>
      <c r="L14" s="467">
        <f t="shared" si="1"/>
        <v>5322047.7375000007</v>
      </c>
      <c r="M14" s="120"/>
      <c r="N14" s="120"/>
      <c r="O14" s="120"/>
      <c r="P14" s="120"/>
      <c r="Q14" s="120"/>
      <c r="R14" s="543"/>
    </row>
    <row r="15" spans="1:35" x14ac:dyDescent="0.25">
      <c r="A15" s="116"/>
      <c r="B15" s="75"/>
      <c r="C15" s="117"/>
      <c r="D15" s="118"/>
      <c r="E15" s="78"/>
      <c r="F15" s="78" t="s">
        <v>28</v>
      </c>
      <c r="G15" s="119">
        <v>1</v>
      </c>
      <c r="H15" s="390">
        <v>2006</v>
      </c>
      <c r="I15" s="80" t="s">
        <v>20</v>
      </c>
      <c r="J15" s="2">
        <v>210.69</v>
      </c>
      <c r="K15" s="2">
        <v>7594.1</v>
      </c>
      <c r="L15" s="467">
        <f t="shared" si="1"/>
        <v>1600000.929</v>
      </c>
      <c r="M15" s="120"/>
      <c r="N15" s="120"/>
      <c r="O15" s="120"/>
      <c r="P15" s="120"/>
      <c r="Q15" s="120"/>
      <c r="R15" s="543"/>
    </row>
    <row r="16" spans="1:35" x14ac:dyDescent="0.25">
      <c r="A16" s="116"/>
      <c r="B16" s="75"/>
      <c r="C16" s="117"/>
      <c r="D16" s="118"/>
      <c r="E16" s="78"/>
      <c r="F16" s="78" t="s">
        <v>29</v>
      </c>
      <c r="G16" s="119">
        <v>1</v>
      </c>
      <c r="H16" s="390">
        <v>2001</v>
      </c>
      <c r="I16" s="80" t="s">
        <v>30</v>
      </c>
      <c r="J16" s="2">
        <v>611.77</v>
      </c>
      <c r="K16" s="2">
        <v>7070.82</v>
      </c>
      <c r="L16" s="467">
        <f t="shared" si="1"/>
        <v>4325715.5513999993</v>
      </c>
      <c r="M16" s="120"/>
      <c r="N16" s="120"/>
      <c r="O16" s="120"/>
      <c r="P16" s="120"/>
      <c r="Q16" s="120"/>
      <c r="R16" s="543"/>
    </row>
    <row r="17" spans="1:18" x14ac:dyDescent="0.25">
      <c r="A17" s="121"/>
      <c r="B17" s="83"/>
      <c r="C17" s="122"/>
      <c r="D17" s="123"/>
      <c r="E17" s="86"/>
      <c r="F17" s="86" t="s">
        <v>31</v>
      </c>
      <c r="G17" s="124">
        <v>1</v>
      </c>
      <c r="H17" s="391">
        <v>2001</v>
      </c>
      <c r="I17" s="125" t="s">
        <v>32</v>
      </c>
      <c r="J17" s="3">
        <v>148.32</v>
      </c>
      <c r="K17" s="2">
        <f>5408.75*1.1</f>
        <v>5949.6250000000009</v>
      </c>
      <c r="L17" s="467">
        <f t="shared" si="1"/>
        <v>882448.38000000012</v>
      </c>
      <c r="M17" s="120"/>
      <c r="N17" s="120"/>
      <c r="O17" s="120"/>
      <c r="P17" s="120"/>
      <c r="Q17" s="120"/>
      <c r="R17" s="543"/>
    </row>
    <row r="18" spans="1:18" ht="15.75" thickBot="1" x14ac:dyDescent="0.3">
      <c r="A18" s="126"/>
      <c r="B18" s="92"/>
      <c r="C18" s="127"/>
      <c r="D18" s="128"/>
      <c r="E18" s="95"/>
      <c r="F18" s="95" t="s">
        <v>33</v>
      </c>
      <c r="G18" s="129">
        <v>1</v>
      </c>
      <c r="H18" s="392">
        <v>2007</v>
      </c>
      <c r="I18" s="98" t="s">
        <v>23</v>
      </c>
      <c r="J18" s="4">
        <v>36.68</v>
      </c>
      <c r="K18" s="4">
        <v>2195.14</v>
      </c>
      <c r="L18" s="464">
        <f t="shared" si="1"/>
        <v>80517.735199999996</v>
      </c>
      <c r="M18" s="130">
        <f>SUM(L11:L18)</f>
        <v>32754375.065299999</v>
      </c>
      <c r="N18" s="488">
        <f>M18</f>
        <v>32754375.065299999</v>
      </c>
      <c r="O18" s="529">
        <v>11837906.75</v>
      </c>
      <c r="P18" s="489">
        <v>1000000</v>
      </c>
      <c r="Q18" s="490" t="s">
        <v>246</v>
      </c>
      <c r="R18" s="545"/>
    </row>
    <row r="19" spans="1:18" ht="15.75" thickTop="1" x14ac:dyDescent="0.25">
      <c r="A19" s="109">
        <v>4</v>
      </c>
      <c r="B19" s="110" t="s">
        <v>13</v>
      </c>
      <c r="C19" s="131" t="s">
        <v>34</v>
      </c>
      <c r="D19" s="132" t="s">
        <v>163</v>
      </c>
      <c r="E19" s="112" t="s">
        <v>35</v>
      </c>
      <c r="F19" s="112" t="s">
        <v>21</v>
      </c>
      <c r="G19" s="113" t="s">
        <v>36</v>
      </c>
      <c r="H19" s="393">
        <v>2008</v>
      </c>
      <c r="I19" s="114" t="s">
        <v>23</v>
      </c>
      <c r="J19" s="6">
        <v>89.3</v>
      </c>
      <c r="K19" s="6">
        <v>2195.14</v>
      </c>
      <c r="L19" s="466">
        <f t="shared" si="1"/>
        <v>196026.00199999998</v>
      </c>
      <c r="M19" s="115"/>
      <c r="N19" s="115"/>
      <c r="O19" s="115"/>
      <c r="P19" s="115"/>
      <c r="Q19" s="115"/>
      <c r="R19" s="542" t="s">
        <v>184</v>
      </c>
    </row>
    <row r="20" spans="1:18" x14ac:dyDescent="0.25">
      <c r="A20" s="116"/>
      <c r="B20" s="133"/>
      <c r="C20" s="134"/>
      <c r="D20" s="118"/>
      <c r="E20" s="78"/>
      <c r="F20" s="135" t="s">
        <v>21</v>
      </c>
      <c r="G20" s="119" t="s">
        <v>36</v>
      </c>
      <c r="H20" s="390">
        <v>2008</v>
      </c>
      <c r="I20" s="80" t="s">
        <v>23</v>
      </c>
      <c r="J20" s="2">
        <v>89.3</v>
      </c>
      <c r="K20" s="2">
        <v>2195.14</v>
      </c>
      <c r="L20" s="467">
        <f t="shared" si="1"/>
        <v>196026.00199999998</v>
      </c>
      <c r="M20" s="120"/>
      <c r="N20" s="120"/>
      <c r="O20" s="120"/>
      <c r="P20" s="120"/>
      <c r="Q20" s="120"/>
      <c r="R20" s="543"/>
    </row>
    <row r="21" spans="1:18" x14ac:dyDescent="0.25">
      <c r="A21" s="116"/>
      <c r="B21" s="133"/>
      <c r="C21" s="134"/>
      <c r="D21" s="118"/>
      <c r="E21" s="78"/>
      <c r="F21" s="135" t="s">
        <v>21</v>
      </c>
      <c r="G21" s="119" t="s">
        <v>36</v>
      </c>
      <c r="H21" s="390">
        <v>2008</v>
      </c>
      <c r="I21" s="80" t="s">
        <v>23</v>
      </c>
      <c r="J21" s="2">
        <v>89.3</v>
      </c>
      <c r="K21" s="2">
        <v>2195.14</v>
      </c>
      <c r="L21" s="467">
        <f t="shared" ref="L21" si="2">J21*K21</f>
        <v>196026.00199999998</v>
      </c>
      <c r="M21" s="120"/>
      <c r="N21" s="120"/>
      <c r="O21" s="120"/>
      <c r="P21" s="120"/>
      <c r="Q21" s="120"/>
      <c r="R21" s="543"/>
    </row>
    <row r="22" spans="1:18" x14ac:dyDescent="0.25">
      <c r="A22" s="116"/>
      <c r="B22" s="133"/>
      <c r="C22" s="134"/>
      <c r="D22" s="118"/>
      <c r="E22" s="78"/>
      <c r="F22" s="135" t="s">
        <v>21</v>
      </c>
      <c r="G22" s="136" t="s">
        <v>22</v>
      </c>
      <c r="H22" s="390">
        <v>2010</v>
      </c>
      <c r="I22" s="137" t="s">
        <v>23</v>
      </c>
      <c r="J22" s="7">
        <v>133.78</v>
      </c>
      <c r="K22" s="7">
        <v>2195.14</v>
      </c>
      <c r="L22" s="468">
        <f t="shared" si="1"/>
        <v>293665.82919999998</v>
      </c>
      <c r="M22" s="120"/>
      <c r="N22" s="120"/>
      <c r="O22" s="120"/>
      <c r="P22" s="120"/>
      <c r="Q22" s="120"/>
      <c r="R22" s="543"/>
    </row>
    <row r="23" spans="1:18" ht="15.75" thickBot="1" x14ac:dyDescent="0.3">
      <c r="A23" s="91"/>
      <c r="B23" s="139"/>
      <c r="C23" s="140"/>
      <c r="D23" s="128"/>
      <c r="E23" s="95"/>
      <c r="F23" s="95" t="s">
        <v>57</v>
      </c>
      <c r="G23" s="129">
        <v>3</v>
      </c>
      <c r="H23" s="392">
        <v>2017</v>
      </c>
      <c r="I23" s="98" t="s">
        <v>20</v>
      </c>
      <c r="J23" s="4">
        <f>335.73*3</f>
        <v>1007.19</v>
      </c>
      <c r="K23" s="4">
        <f>5408.75*1.2</f>
        <v>6490.5</v>
      </c>
      <c r="L23" s="464">
        <f t="shared" ref="L23" si="3">J23*K23</f>
        <v>6537166.6950000003</v>
      </c>
      <c r="M23" s="130">
        <f>SUM(L19:L23)</f>
        <v>7418910.5301999999</v>
      </c>
      <c r="N23" s="488">
        <f>M23</f>
        <v>7418910.5301999999</v>
      </c>
      <c r="O23" s="529">
        <v>2807662.39</v>
      </c>
      <c r="P23" s="489">
        <v>500000</v>
      </c>
      <c r="Q23" s="490" t="s">
        <v>246</v>
      </c>
      <c r="R23" s="545"/>
    </row>
    <row r="24" spans="1:18" ht="15.75" thickTop="1" x14ac:dyDescent="0.25">
      <c r="A24" s="109">
        <v>5</v>
      </c>
      <c r="B24" s="110" t="s">
        <v>13</v>
      </c>
      <c r="C24" s="111" t="s">
        <v>37</v>
      </c>
      <c r="D24" s="132" t="s">
        <v>38</v>
      </c>
      <c r="E24" s="112" t="s">
        <v>26</v>
      </c>
      <c r="F24" s="112" t="s">
        <v>164</v>
      </c>
      <c r="G24" s="113">
        <v>3</v>
      </c>
      <c r="H24" s="393">
        <v>2007</v>
      </c>
      <c r="I24" s="114" t="s">
        <v>20</v>
      </c>
      <c r="J24" s="6">
        <f>335.54*3</f>
        <v>1006.6200000000001</v>
      </c>
      <c r="K24" s="6">
        <f>5408.75*1.2</f>
        <v>6490.5</v>
      </c>
      <c r="L24" s="466">
        <f t="shared" si="1"/>
        <v>6533467.1100000003</v>
      </c>
      <c r="M24" s="115"/>
      <c r="N24" s="115"/>
      <c r="O24" s="115"/>
      <c r="P24" s="115"/>
      <c r="Q24" s="115"/>
      <c r="R24" s="542" t="s">
        <v>185</v>
      </c>
    </row>
    <row r="25" spans="1:18" x14ac:dyDescent="0.25">
      <c r="A25" s="116"/>
      <c r="B25" s="75"/>
      <c r="C25" s="117"/>
      <c r="D25" s="118"/>
      <c r="E25" s="78"/>
      <c r="F25" s="78" t="s">
        <v>57</v>
      </c>
      <c r="G25" s="119">
        <v>3</v>
      </c>
      <c r="H25" s="390">
        <v>2004</v>
      </c>
      <c r="I25" s="80" t="s">
        <v>20</v>
      </c>
      <c r="J25" s="2">
        <f>335.73*3</f>
        <v>1007.19</v>
      </c>
      <c r="K25" s="2">
        <f>5408.75*1.2</f>
        <v>6490.5</v>
      </c>
      <c r="L25" s="467">
        <f t="shared" si="1"/>
        <v>6537166.6950000003</v>
      </c>
      <c r="M25" s="120"/>
      <c r="N25" s="120"/>
      <c r="O25" s="120"/>
      <c r="P25" s="120"/>
      <c r="Q25" s="120"/>
      <c r="R25" s="543"/>
    </row>
    <row r="26" spans="1:18" x14ac:dyDescent="0.25">
      <c r="A26" s="116"/>
      <c r="B26" s="75"/>
      <c r="C26" s="117"/>
      <c r="D26" s="118"/>
      <c r="E26" s="78"/>
      <c r="F26" s="78" t="s">
        <v>58</v>
      </c>
      <c r="G26" s="119">
        <v>3</v>
      </c>
      <c r="H26" s="390">
        <v>2006</v>
      </c>
      <c r="I26" s="80" t="s">
        <v>20</v>
      </c>
      <c r="J26" s="2">
        <f>252.3*3</f>
        <v>756.90000000000009</v>
      </c>
      <c r="K26" s="2">
        <f>5408.75*1.3</f>
        <v>7031.375</v>
      </c>
      <c r="L26" s="467">
        <f t="shared" si="1"/>
        <v>5322047.7375000007</v>
      </c>
      <c r="M26" s="120"/>
      <c r="N26" s="120"/>
      <c r="O26" s="120"/>
      <c r="P26" s="120"/>
      <c r="Q26" s="120"/>
      <c r="R26" s="543"/>
    </row>
    <row r="27" spans="1:18" x14ac:dyDescent="0.25">
      <c r="A27" s="116"/>
      <c r="B27" s="75"/>
      <c r="C27" s="117"/>
      <c r="D27" s="118"/>
      <c r="E27" s="78"/>
      <c r="F27" s="78" t="s">
        <v>28</v>
      </c>
      <c r="G27" s="119">
        <v>1</v>
      </c>
      <c r="H27" s="390">
        <v>2007</v>
      </c>
      <c r="I27" s="80" t="s">
        <v>20</v>
      </c>
      <c r="J27" s="2">
        <v>210.69</v>
      </c>
      <c r="K27" s="2">
        <v>7594.1</v>
      </c>
      <c r="L27" s="467">
        <f t="shared" si="1"/>
        <v>1600000.929</v>
      </c>
      <c r="M27" s="120"/>
      <c r="N27" s="120"/>
      <c r="O27" s="120"/>
      <c r="P27" s="120"/>
      <c r="Q27" s="120"/>
      <c r="R27" s="543"/>
    </row>
    <row r="28" spans="1:18" x14ac:dyDescent="0.25">
      <c r="A28" s="82"/>
      <c r="B28" s="83"/>
      <c r="C28" s="122"/>
      <c r="D28" s="123"/>
      <c r="E28" s="86"/>
      <c r="F28" s="86" t="s">
        <v>29</v>
      </c>
      <c r="G28" s="88">
        <v>1</v>
      </c>
      <c r="H28" s="394">
        <v>2007</v>
      </c>
      <c r="I28" s="89" t="s">
        <v>30</v>
      </c>
      <c r="J28" s="2">
        <v>611.77</v>
      </c>
      <c r="K28" s="2">
        <v>7070.82</v>
      </c>
      <c r="L28" s="467">
        <f t="shared" si="1"/>
        <v>4325715.5513999993</v>
      </c>
      <c r="M28" s="120"/>
      <c r="N28" s="120"/>
      <c r="O28" s="120"/>
      <c r="P28" s="120"/>
      <c r="Q28" s="120"/>
      <c r="R28" s="543"/>
    </row>
    <row r="29" spans="1:18" ht="15.75" thickBot="1" x14ac:dyDescent="0.3">
      <c r="A29" s="91"/>
      <c r="B29" s="92"/>
      <c r="C29" s="127"/>
      <c r="D29" s="128"/>
      <c r="E29" s="95"/>
      <c r="F29" s="95" t="s">
        <v>33</v>
      </c>
      <c r="G29" s="97">
        <v>1</v>
      </c>
      <c r="H29" s="395">
        <v>2010</v>
      </c>
      <c r="I29" s="98" t="s">
        <v>20</v>
      </c>
      <c r="J29" s="4">
        <v>53.87</v>
      </c>
      <c r="K29" s="4">
        <v>7594.1</v>
      </c>
      <c r="L29" s="464">
        <f t="shared" si="1"/>
        <v>409094.16700000002</v>
      </c>
      <c r="M29" s="130">
        <f>SUM(L24:L29)</f>
        <v>24727492.1899</v>
      </c>
      <c r="N29" s="488">
        <f>M29</f>
        <v>24727492.1899</v>
      </c>
      <c r="O29" s="529">
        <v>6714005.7999999998</v>
      </c>
      <c r="P29" s="489">
        <v>1000000</v>
      </c>
      <c r="Q29" s="490" t="s">
        <v>246</v>
      </c>
      <c r="R29" s="545"/>
    </row>
    <row r="30" spans="1:18" ht="15.75" thickTop="1" x14ac:dyDescent="0.25">
      <c r="A30" s="109">
        <v>6</v>
      </c>
      <c r="B30" s="110" t="s">
        <v>13</v>
      </c>
      <c r="C30" s="111" t="s">
        <v>39</v>
      </c>
      <c r="D30" s="132" t="s">
        <v>40</v>
      </c>
      <c r="E30" s="112" t="s">
        <v>26</v>
      </c>
      <c r="F30" s="112" t="s">
        <v>41</v>
      </c>
      <c r="G30" s="113">
        <v>1</v>
      </c>
      <c r="H30" s="393" t="s">
        <v>234</v>
      </c>
      <c r="I30" s="114" t="s">
        <v>18</v>
      </c>
      <c r="J30" s="6">
        <v>280.37</v>
      </c>
      <c r="K30" s="6">
        <f>8345.63*0.9</f>
        <v>7511.0669999999991</v>
      </c>
      <c r="L30" s="466">
        <f t="shared" si="1"/>
        <v>2105877.8547899998</v>
      </c>
      <c r="M30" s="115"/>
      <c r="N30" s="115"/>
      <c r="O30" s="115"/>
      <c r="P30" s="115"/>
      <c r="Q30" s="115"/>
      <c r="R30" s="542" t="s">
        <v>186</v>
      </c>
    </row>
    <row r="31" spans="1:18" x14ac:dyDescent="0.25">
      <c r="A31" s="141"/>
      <c r="B31" s="142"/>
      <c r="C31" s="143"/>
      <c r="D31" s="144"/>
      <c r="E31" s="145"/>
      <c r="F31" s="145" t="s">
        <v>42</v>
      </c>
      <c r="G31" s="146">
        <v>1</v>
      </c>
      <c r="H31" s="396">
        <v>1970</v>
      </c>
      <c r="I31" s="147" t="s">
        <v>18</v>
      </c>
      <c r="J31" s="2">
        <v>328.08</v>
      </c>
      <c r="K31" s="2">
        <v>8345.6299999999992</v>
      </c>
      <c r="L31" s="467">
        <f t="shared" si="1"/>
        <v>2738034.2903999998</v>
      </c>
      <c r="M31" s="120"/>
      <c r="N31" s="120"/>
      <c r="O31" s="120"/>
      <c r="P31" s="120"/>
      <c r="Q31" s="120"/>
      <c r="R31" s="543"/>
    </row>
    <row r="32" spans="1:18" x14ac:dyDescent="0.25">
      <c r="A32" s="116"/>
      <c r="B32" s="133"/>
      <c r="C32" s="134"/>
      <c r="D32" s="118"/>
      <c r="E32" s="78"/>
      <c r="F32" s="119" t="s">
        <v>43</v>
      </c>
      <c r="G32" s="119">
        <v>1</v>
      </c>
      <c r="H32" s="390">
        <v>1970</v>
      </c>
      <c r="I32" s="80" t="s">
        <v>44</v>
      </c>
      <c r="J32" s="2">
        <v>1496.08</v>
      </c>
      <c r="K32" s="2">
        <v>2195.14</v>
      </c>
      <c r="L32" s="467">
        <f t="shared" si="1"/>
        <v>3284105.0511999996</v>
      </c>
      <c r="M32" s="120"/>
      <c r="N32" s="120"/>
      <c r="O32" s="120"/>
      <c r="P32" s="120"/>
      <c r="Q32" s="120"/>
      <c r="R32" s="543"/>
    </row>
    <row r="33" spans="1:20" x14ac:dyDescent="0.25">
      <c r="A33" s="116"/>
      <c r="B33" s="133"/>
      <c r="C33" s="134"/>
      <c r="D33" s="118"/>
      <c r="E33" s="78"/>
      <c r="F33" s="119" t="s">
        <v>45</v>
      </c>
      <c r="G33" s="119">
        <v>1</v>
      </c>
      <c r="H33" s="390">
        <v>1970</v>
      </c>
      <c r="I33" s="80" t="s">
        <v>18</v>
      </c>
      <c r="J33" s="2">
        <v>231.57</v>
      </c>
      <c r="K33" s="2">
        <v>8345.6299999999992</v>
      </c>
      <c r="L33" s="467">
        <f t="shared" si="1"/>
        <v>1932597.5390999997</v>
      </c>
      <c r="M33" s="120"/>
      <c r="N33" s="120"/>
      <c r="O33" s="120"/>
      <c r="P33" s="120"/>
      <c r="Q33" s="120"/>
      <c r="R33" s="543"/>
    </row>
    <row r="34" spans="1:20" ht="15.75" thickBot="1" x14ac:dyDescent="0.3">
      <c r="A34" s="91"/>
      <c r="B34" s="139"/>
      <c r="C34" s="140"/>
      <c r="D34" s="128"/>
      <c r="E34" s="95"/>
      <c r="F34" s="95" t="s">
        <v>46</v>
      </c>
      <c r="G34" s="97">
        <v>2</v>
      </c>
      <c r="H34" s="395">
        <v>1970</v>
      </c>
      <c r="I34" s="98" t="s">
        <v>18</v>
      </c>
      <c r="J34" s="4">
        <f>253.44+319.49</f>
        <v>572.93000000000006</v>
      </c>
      <c r="K34" s="4">
        <v>8345.6299999999992</v>
      </c>
      <c r="L34" s="464">
        <f t="shared" si="1"/>
        <v>4781461.7959000003</v>
      </c>
      <c r="M34" s="130">
        <f>SUM(L30:L34)</f>
        <v>14842076.531389998</v>
      </c>
      <c r="N34" s="492">
        <f>M34</f>
        <v>14842076.531389998</v>
      </c>
      <c r="O34" s="534">
        <v>3950144.83</v>
      </c>
      <c r="P34" s="493">
        <v>1000000</v>
      </c>
      <c r="Q34" s="494" t="s">
        <v>246</v>
      </c>
      <c r="R34" s="545"/>
    </row>
    <row r="35" spans="1:20" ht="15.75" thickTop="1" x14ac:dyDescent="0.25">
      <c r="A35" s="109">
        <v>7</v>
      </c>
      <c r="B35" s="110" t="s">
        <v>13</v>
      </c>
      <c r="C35" s="111" t="s">
        <v>47</v>
      </c>
      <c r="D35" s="132" t="s">
        <v>48</v>
      </c>
      <c r="E35" s="112" t="s">
        <v>49</v>
      </c>
      <c r="F35" s="112" t="s">
        <v>50</v>
      </c>
      <c r="G35" s="113">
        <v>2</v>
      </c>
      <c r="H35" s="393" t="s">
        <v>235</v>
      </c>
      <c r="I35" s="114" t="s">
        <v>18</v>
      </c>
      <c r="J35" s="6">
        <f>271.74+83.01+271.76+794.98</f>
        <v>1421.49</v>
      </c>
      <c r="K35" s="6">
        <v>8345.6299999999992</v>
      </c>
      <c r="L35" s="466">
        <f t="shared" si="1"/>
        <v>11863229.588699998</v>
      </c>
      <c r="M35" s="115"/>
      <c r="N35" s="115"/>
      <c r="O35" s="115"/>
      <c r="P35" s="115"/>
      <c r="Q35" s="115"/>
      <c r="R35" s="542" t="s">
        <v>174</v>
      </c>
    </row>
    <row r="36" spans="1:20" x14ac:dyDescent="0.25">
      <c r="A36" s="116"/>
      <c r="B36" s="133"/>
      <c r="C36" s="134"/>
      <c r="D36" s="118"/>
      <c r="E36" s="78"/>
      <c r="F36" s="78" t="s">
        <v>51</v>
      </c>
      <c r="G36" s="119">
        <v>1</v>
      </c>
      <c r="H36" s="390">
        <v>1980</v>
      </c>
      <c r="I36" s="80" t="s">
        <v>18</v>
      </c>
      <c r="J36" s="2">
        <v>136.93</v>
      </c>
      <c r="K36" s="2">
        <v>8345.6299999999992</v>
      </c>
      <c r="L36" s="467">
        <f t="shared" si="1"/>
        <v>1142767.1158999999</v>
      </c>
      <c r="M36" s="120"/>
      <c r="N36" s="120"/>
      <c r="O36" s="120"/>
      <c r="P36" s="120"/>
      <c r="Q36" s="120"/>
      <c r="R36" s="543"/>
    </row>
    <row r="37" spans="1:20" x14ac:dyDescent="0.25">
      <c r="A37" s="116"/>
      <c r="B37" s="133"/>
      <c r="C37" s="134"/>
      <c r="D37" s="118"/>
      <c r="E37" s="78"/>
      <c r="F37" s="78" t="s">
        <v>52</v>
      </c>
      <c r="G37" s="119">
        <v>2</v>
      </c>
      <c r="H37" s="390">
        <v>1980</v>
      </c>
      <c r="I37" s="80" t="s">
        <v>18</v>
      </c>
      <c r="J37" s="2">
        <f>249.07*2</f>
        <v>498.14</v>
      </c>
      <c r="K37" s="2">
        <v>8345.6299999999992</v>
      </c>
      <c r="L37" s="467">
        <f t="shared" si="1"/>
        <v>4157292.1281999997</v>
      </c>
      <c r="M37" s="120"/>
      <c r="N37" s="120"/>
      <c r="O37" s="120"/>
      <c r="P37" s="120"/>
      <c r="Q37" s="120"/>
      <c r="R37" s="543"/>
    </row>
    <row r="38" spans="1:20" x14ac:dyDescent="0.25">
      <c r="A38" s="82"/>
      <c r="B38" s="148"/>
      <c r="C38" s="149"/>
      <c r="D38" s="123"/>
      <c r="E38" s="86"/>
      <c r="F38" s="78" t="s">
        <v>53</v>
      </c>
      <c r="G38" s="88">
        <v>1</v>
      </c>
      <c r="H38" s="394">
        <v>1980</v>
      </c>
      <c r="I38" s="80" t="s">
        <v>18</v>
      </c>
      <c r="J38" s="2">
        <v>136.94</v>
      </c>
      <c r="K38" s="2">
        <v>8345.6299999999992</v>
      </c>
      <c r="L38" s="467">
        <f t="shared" si="1"/>
        <v>1142850.5721999998</v>
      </c>
      <c r="M38" s="120"/>
      <c r="N38" s="120"/>
      <c r="O38" s="120"/>
      <c r="P38" s="120"/>
      <c r="Q38" s="120"/>
      <c r="R38" s="543"/>
    </row>
    <row r="39" spans="1:20" ht="15.75" thickBot="1" x14ac:dyDescent="0.3">
      <c r="A39" s="91"/>
      <c r="B39" s="139"/>
      <c r="C39" s="140"/>
      <c r="D39" s="128"/>
      <c r="E39" s="95"/>
      <c r="F39" s="95" t="s">
        <v>54</v>
      </c>
      <c r="G39" s="97">
        <v>1</v>
      </c>
      <c r="H39" s="395">
        <v>1980</v>
      </c>
      <c r="I39" s="98" t="s">
        <v>18</v>
      </c>
      <c r="J39" s="4">
        <v>325.69</v>
      </c>
      <c r="K39" s="4">
        <v>8345.6299999999992</v>
      </c>
      <c r="L39" s="464">
        <f t="shared" si="1"/>
        <v>2718088.2346999999</v>
      </c>
      <c r="M39" s="342">
        <f>SUM(L35:L39)</f>
        <v>21024227.639699996</v>
      </c>
      <c r="N39" s="492">
        <f>M39</f>
        <v>21024227.639699996</v>
      </c>
      <c r="O39" s="529">
        <v>5544544.7800000003</v>
      </c>
      <c r="P39" s="493">
        <v>1000000</v>
      </c>
      <c r="Q39" s="494" t="s">
        <v>246</v>
      </c>
      <c r="R39" s="545"/>
    </row>
    <row r="40" spans="1:20" ht="15.75" thickTop="1" x14ac:dyDescent="0.25">
      <c r="A40" s="64">
        <v>8</v>
      </c>
      <c r="B40" s="110" t="s">
        <v>13</v>
      </c>
      <c r="C40" s="111" t="s">
        <v>55</v>
      </c>
      <c r="D40" s="132" t="s">
        <v>56</v>
      </c>
      <c r="E40" s="112" t="s">
        <v>26</v>
      </c>
      <c r="F40" s="150" t="s">
        <v>164</v>
      </c>
      <c r="G40" s="113">
        <v>3</v>
      </c>
      <c r="H40" s="393">
        <v>2013</v>
      </c>
      <c r="I40" s="114" t="s">
        <v>20</v>
      </c>
      <c r="J40" s="1">
        <f>335.54*3</f>
        <v>1006.6200000000001</v>
      </c>
      <c r="K40" s="1">
        <f>5408.75*1.2</f>
        <v>6490.5</v>
      </c>
      <c r="L40" s="466">
        <f t="shared" si="1"/>
        <v>6533467.1100000003</v>
      </c>
      <c r="M40" s="71"/>
      <c r="N40" s="71"/>
      <c r="O40" s="71"/>
      <c r="P40" s="71"/>
      <c r="Q40" s="71"/>
      <c r="R40" s="542" t="s">
        <v>175</v>
      </c>
    </row>
    <row r="41" spans="1:20" x14ac:dyDescent="0.25">
      <c r="A41" s="151"/>
      <c r="B41" s="152"/>
      <c r="C41" s="153"/>
      <c r="D41" s="154"/>
      <c r="E41" s="155"/>
      <c r="F41" s="156" t="s">
        <v>57</v>
      </c>
      <c r="G41" s="157">
        <v>3</v>
      </c>
      <c r="H41" s="397">
        <v>2007</v>
      </c>
      <c r="I41" s="158" t="s">
        <v>20</v>
      </c>
      <c r="J41" s="7">
        <f>335.73*3</f>
        <v>1007.19</v>
      </c>
      <c r="K41" s="7">
        <f>5408.75*1.2</f>
        <v>6490.5</v>
      </c>
      <c r="L41" s="468">
        <f t="shared" si="1"/>
        <v>6537166.6950000003</v>
      </c>
      <c r="M41" s="189"/>
      <c r="N41" s="189"/>
      <c r="O41" s="189"/>
      <c r="P41" s="189"/>
      <c r="Q41" s="189"/>
      <c r="R41" s="543"/>
    </row>
    <row r="42" spans="1:20" x14ac:dyDescent="0.25">
      <c r="A42" s="82"/>
      <c r="B42" s="83"/>
      <c r="C42" s="122"/>
      <c r="D42" s="123"/>
      <c r="E42" s="86"/>
      <c r="F42" s="156" t="s">
        <v>29</v>
      </c>
      <c r="G42" s="157">
        <v>1</v>
      </c>
      <c r="H42" s="397">
        <v>2019</v>
      </c>
      <c r="I42" s="158" t="s">
        <v>166</v>
      </c>
      <c r="J42" s="7">
        <v>611.77</v>
      </c>
      <c r="K42" s="7">
        <v>8484.98</v>
      </c>
      <c r="L42" s="468">
        <f t="shared" ref="L42:L43" si="4">J42*K42</f>
        <v>5190856.2145999996</v>
      </c>
      <c r="M42" s="81"/>
      <c r="N42" s="81"/>
      <c r="O42" s="81"/>
      <c r="P42" s="81"/>
      <c r="Q42" s="81"/>
      <c r="R42" s="554"/>
    </row>
    <row r="43" spans="1:20" ht="15.75" thickBot="1" x14ac:dyDescent="0.3">
      <c r="A43" s="116"/>
      <c r="B43" s="75"/>
      <c r="C43" s="117"/>
      <c r="D43" s="118"/>
      <c r="E43" s="78"/>
      <c r="F43" s="78" t="s">
        <v>28</v>
      </c>
      <c r="G43" s="119">
        <v>1</v>
      </c>
      <c r="H43" s="395">
        <v>2019</v>
      </c>
      <c r="I43" s="80" t="s">
        <v>20</v>
      </c>
      <c r="J43" s="2">
        <v>210.69</v>
      </c>
      <c r="K43" s="2">
        <v>8353.51</v>
      </c>
      <c r="L43" s="467">
        <f t="shared" si="4"/>
        <v>1760001.0219000001</v>
      </c>
      <c r="M43" s="81"/>
      <c r="N43" s="81"/>
      <c r="O43" s="81"/>
      <c r="P43" s="81"/>
      <c r="Q43" s="81"/>
      <c r="R43" s="543"/>
      <c r="T43" s="161"/>
    </row>
    <row r="44" spans="1:20" ht="16.5" thickTop="1" thickBot="1" x14ac:dyDescent="0.3">
      <c r="A44" s="91"/>
      <c r="B44" s="92"/>
      <c r="C44" s="127"/>
      <c r="D44" s="128"/>
      <c r="E44" s="95"/>
      <c r="F44" s="95" t="s">
        <v>58</v>
      </c>
      <c r="G44" s="97">
        <v>3</v>
      </c>
      <c r="H44" s="491">
        <v>2008</v>
      </c>
      <c r="I44" s="98" t="s">
        <v>20</v>
      </c>
      <c r="J44" s="4">
        <f>252.3*3</f>
        <v>756.90000000000009</v>
      </c>
      <c r="K44" s="4">
        <f>5408.75*1.3</f>
        <v>7031.375</v>
      </c>
      <c r="L44" s="464">
        <f t="shared" si="1"/>
        <v>5322047.7375000007</v>
      </c>
      <c r="M44" s="130">
        <f>SUM(L40:L44)</f>
        <v>25343538.779000003</v>
      </c>
      <c r="N44" s="492">
        <f>M44</f>
        <v>25343538.779000003</v>
      </c>
      <c r="O44" s="529">
        <v>6109914.5300000003</v>
      </c>
      <c r="P44" s="493">
        <v>1000000</v>
      </c>
      <c r="Q44" s="494" t="s">
        <v>246</v>
      </c>
      <c r="R44" s="545"/>
    </row>
    <row r="45" spans="1:20" ht="15.75" thickTop="1" x14ac:dyDescent="0.25">
      <c r="A45" s="64">
        <v>9</v>
      </c>
      <c r="B45" s="110" t="s">
        <v>13</v>
      </c>
      <c r="C45" s="131" t="s">
        <v>59</v>
      </c>
      <c r="D45" s="132" t="s">
        <v>161</v>
      </c>
      <c r="E45" s="112" t="s">
        <v>35</v>
      </c>
      <c r="F45" s="150" t="s">
        <v>60</v>
      </c>
      <c r="G45" s="69" t="s">
        <v>36</v>
      </c>
      <c r="H45" s="398">
        <v>2008</v>
      </c>
      <c r="I45" s="70" t="s">
        <v>23</v>
      </c>
      <c r="J45" s="1">
        <v>89.3</v>
      </c>
      <c r="K45" s="6">
        <v>2195.14</v>
      </c>
      <c r="L45" s="466">
        <f t="shared" si="1"/>
        <v>196026.00199999998</v>
      </c>
      <c r="M45" s="115"/>
      <c r="N45" s="115"/>
      <c r="O45" s="115"/>
      <c r="P45" s="115"/>
      <c r="Q45" s="115"/>
      <c r="R45" s="542" t="s">
        <v>176</v>
      </c>
    </row>
    <row r="46" spans="1:20" x14ac:dyDescent="0.25">
      <c r="A46" s="116"/>
      <c r="B46" s="133"/>
      <c r="C46" s="134"/>
      <c r="D46" s="118"/>
      <c r="E46" s="78"/>
      <c r="F46" s="156" t="s">
        <v>60</v>
      </c>
      <c r="G46" s="119" t="s">
        <v>36</v>
      </c>
      <c r="H46" s="390">
        <v>2008</v>
      </c>
      <c r="I46" s="80" t="s">
        <v>23</v>
      </c>
      <c r="J46" s="2">
        <v>89.3</v>
      </c>
      <c r="K46" s="2">
        <v>2195.14</v>
      </c>
      <c r="L46" s="467">
        <f t="shared" si="1"/>
        <v>196026.00199999998</v>
      </c>
      <c r="M46" s="120"/>
      <c r="N46" s="120"/>
      <c r="O46" s="120"/>
      <c r="P46" s="120"/>
      <c r="Q46" s="120"/>
      <c r="R46" s="543"/>
    </row>
    <row r="47" spans="1:20" x14ac:dyDescent="0.25">
      <c r="A47" s="116"/>
      <c r="B47" s="133"/>
      <c r="C47" s="134"/>
      <c r="D47" s="118"/>
      <c r="E47" s="78"/>
      <c r="F47" s="156" t="s">
        <v>60</v>
      </c>
      <c r="G47" s="119" t="s">
        <v>36</v>
      </c>
      <c r="H47" s="390">
        <v>2008</v>
      </c>
      <c r="I47" s="80" t="s">
        <v>23</v>
      </c>
      <c r="J47" s="2">
        <v>89.3</v>
      </c>
      <c r="K47" s="2">
        <v>2195.14</v>
      </c>
      <c r="L47" s="467">
        <f t="shared" si="1"/>
        <v>196026.00199999998</v>
      </c>
      <c r="M47" s="120"/>
      <c r="N47" s="120"/>
      <c r="O47" s="120"/>
      <c r="P47" s="120"/>
      <c r="Q47" s="120"/>
      <c r="R47" s="543"/>
    </row>
    <row r="48" spans="1:20" x14ac:dyDescent="0.25">
      <c r="A48" s="116"/>
      <c r="B48" s="133"/>
      <c r="C48" s="134"/>
      <c r="D48" s="118"/>
      <c r="E48" s="78"/>
      <c r="F48" s="156" t="s">
        <v>60</v>
      </c>
      <c r="G48" s="119" t="s">
        <v>36</v>
      </c>
      <c r="H48" s="390">
        <v>2008</v>
      </c>
      <c r="I48" s="80" t="s">
        <v>23</v>
      </c>
      <c r="J48" s="2">
        <v>89.3</v>
      </c>
      <c r="K48" s="2">
        <v>2195.14</v>
      </c>
      <c r="L48" s="467">
        <f t="shared" si="1"/>
        <v>196026.00199999998</v>
      </c>
      <c r="M48" s="120"/>
      <c r="N48" s="120"/>
      <c r="O48" s="120"/>
      <c r="P48" s="120"/>
      <c r="Q48" s="120"/>
      <c r="R48" s="543"/>
    </row>
    <row r="49" spans="1:18" x14ac:dyDescent="0.25">
      <c r="A49" s="116"/>
      <c r="B49" s="133"/>
      <c r="C49" s="134"/>
      <c r="D49" s="123"/>
      <c r="E49" s="78"/>
      <c r="F49" s="156" t="s">
        <v>60</v>
      </c>
      <c r="G49" s="119" t="s">
        <v>61</v>
      </c>
      <c r="H49" s="390">
        <v>2008</v>
      </c>
      <c r="I49" s="80" t="s">
        <v>23</v>
      </c>
      <c r="J49" s="2">
        <v>69.67</v>
      </c>
      <c r="K49" s="2">
        <v>2195.14</v>
      </c>
      <c r="L49" s="467">
        <f t="shared" si="1"/>
        <v>152935.4038</v>
      </c>
      <c r="M49" s="120"/>
      <c r="N49" s="120"/>
      <c r="O49" s="120"/>
      <c r="P49" s="120"/>
      <c r="Q49" s="120"/>
      <c r="R49" s="543"/>
    </row>
    <row r="50" spans="1:18" x14ac:dyDescent="0.25">
      <c r="A50" s="116"/>
      <c r="B50" s="133"/>
      <c r="C50" s="134"/>
      <c r="D50" s="123"/>
      <c r="E50" s="78"/>
      <c r="F50" s="156" t="s">
        <v>60</v>
      </c>
      <c r="G50" s="119" t="s">
        <v>62</v>
      </c>
      <c r="H50" s="390">
        <v>2008</v>
      </c>
      <c r="I50" s="80" t="s">
        <v>23</v>
      </c>
      <c r="J50" s="2">
        <v>51</v>
      </c>
      <c r="K50" s="2">
        <v>2195.14</v>
      </c>
      <c r="L50" s="467">
        <f t="shared" si="1"/>
        <v>111952.14</v>
      </c>
      <c r="M50" s="120"/>
      <c r="N50" s="120"/>
      <c r="O50" s="120"/>
      <c r="P50" s="120"/>
      <c r="Q50" s="120"/>
      <c r="R50" s="543"/>
    </row>
    <row r="51" spans="1:18" x14ac:dyDescent="0.25">
      <c r="A51" s="82"/>
      <c r="B51" s="148"/>
      <c r="C51" s="149"/>
      <c r="D51" s="123"/>
      <c r="E51" s="86"/>
      <c r="F51" s="156" t="s">
        <v>60</v>
      </c>
      <c r="G51" s="88" t="s">
        <v>63</v>
      </c>
      <c r="H51" s="394">
        <v>2008</v>
      </c>
      <c r="I51" s="89" t="s">
        <v>23</v>
      </c>
      <c r="J51" s="3">
        <v>23.39</v>
      </c>
      <c r="K51" s="3">
        <v>2195.14</v>
      </c>
      <c r="L51" s="467">
        <f t="shared" si="1"/>
        <v>51344.3246</v>
      </c>
      <c r="M51" s="120"/>
      <c r="N51" s="120"/>
      <c r="O51" s="120"/>
      <c r="P51" s="120"/>
      <c r="Q51" s="120"/>
      <c r="R51" s="543"/>
    </row>
    <row r="52" spans="1:18" ht="15.75" thickBot="1" x14ac:dyDescent="0.3">
      <c r="A52" s="91"/>
      <c r="B52" s="139"/>
      <c r="C52" s="140"/>
      <c r="D52" s="128"/>
      <c r="E52" s="95"/>
      <c r="F52" s="96" t="s">
        <v>219</v>
      </c>
      <c r="G52" s="97" t="s">
        <v>65</v>
      </c>
      <c r="H52" s="395">
        <v>2008</v>
      </c>
      <c r="I52" s="98" t="s">
        <v>66</v>
      </c>
      <c r="J52" s="4">
        <v>181.17</v>
      </c>
      <c r="K52" s="4">
        <v>6529.6</v>
      </c>
      <c r="L52" s="464">
        <f t="shared" si="1"/>
        <v>1182967.632</v>
      </c>
      <c r="M52" s="130">
        <f>SUM(L45:L52)</f>
        <v>2283303.5083999997</v>
      </c>
      <c r="N52" s="495">
        <f>M52</f>
        <v>2283303.5083999997</v>
      </c>
      <c r="O52" s="529">
        <v>2169841.41</v>
      </c>
      <c r="P52" s="496">
        <v>500000</v>
      </c>
      <c r="Q52" s="497" t="s">
        <v>246</v>
      </c>
      <c r="R52" s="545"/>
    </row>
    <row r="53" spans="1:18" ht="15.75" thickTop="1" x14ac:dyDescent="0.25">
      <c r="A53" s="64">
        <v>10</v>
      </c>
      <c r="B53" s="110" t="s">
        <v>13</v>
      </c>
      <c r="C53" s="131" t="s">
        <v>67</v>
      </c>
      <c r="D53" s="132" t="s">
        <v>68</v>
      </c>
      <c r="E53" s="112" t="s">
        <v>35</v>
      </c>
      <c r="F53" s="112" t="s">
        <v>60</v>
      </c>
      <c r="G53" s="113" t="s">
        <v>36</v>
      </c>
      <c r="H53" s="393">
        <v>2008</v>
      </c>
      <c r="I53" s="70" t="s">
        <v>23</v>
      </c>
      <c r="J53" s="6">
        <v>90.19</v>
      </c>
      <c r="K53" s="6">
        <v>2195.14</v>
      </c>
      <c r="L53" s="466">
        <f t="shared" si="1"/>
        <v>197979.67659999998</v>
      </c>
      <c r="M53" s="115"/>
      <c r="N53" s="115"/>
      <c r="O53" s="115"/>
      <c r="P53" s="115"/>
      <c r="Q53" s="115"/>
      <c r="R53" s="542" t="s">
        <v>177</v>
      </c>
    </row>
    <row r="54" spans="1:18" x14ac:dyDescent="0.25">
      <c r="A54" s="116"/>
      <c r="B54" s="133"/>
      <c r="C54" s="134"/>
      <c r="D54" s="118"/>
      <c r="E54" s="78"/>
      <c r="F54" s="145" t="s">
        <v>60</v>
      </c>
      <c r="G54" s="119" t="s">
        <v>69</v>
      </c>
      <c r="H54" s="390">
        <v>2008</v>
      </c>
      <c r="I54" s="80" t="s">
        <v>23</v>
      </c>
      <c r="J54" s="2">
        <v>70.14</v>
      </c>
      <c r="K54" s="2">
        <v>2195.14</v>
      </c>
      <c r="L54" s="467">
        <f t="shared" si="1"/>
        <v>153967.11960000001</v>
      </c>
      <c r="M54" s="120"/>
      <c r="N54" s="120"/>
      <c r="O54" s="120"/>
      <c r="P54" s="120"/>
      <c r="Q54" s="120"/>
      <c r="R54" s="543"/>
    </row>
    <row r="55" spans="1:18" x14ac:dyDescent="0.25">
      <c r="A55" s="116"/>
      <c r="B55" s="133"/>
      <c r="C55" s="134"/>
      <c r="D55" s="118"/>
      <c r="E55" s="78"/>
      <c r="F55" s="145" t="s">
        <v>60</v>
      </c>
      <c r="G55" s="119" t="s">
        <v>70</v>
      </c>
      <c r="H55" s="390">
        <v>2008</v>
      </c>
      <c r="I55" s="80" t="s">
        <v>23</v>
      </c>
      <c r="J55" s="2">
        <v>85.1</v>
      </c>
      <c r="K55" s="2">
        <v>2195.14</v>
      </c>
      <c r="L55" s="467">
        <f t="shared" si="1"/>
        <v>186806.41399999999</v>
      </c>
      <c r="M55" s="120"/>
      <c r="N55" s="120"/>
      <c r="O55" s="120"/>
      <c r="P55" s="120"/>
      <c r="Q55" s="120"/>
      <c r="R55" s="543"/>
    </row>
    <row r="56" spans="1:18" x14ac:dyDescent="0.25">
      <c r="A56" s="116"/>
      <c r="B56" s="133"/>
      <c r="C56" s="134"/>
      <c r="D56" s="118"/>
      <c r="E56" s="78"/>
      <c r="F56" s="145" t="s">
        <v>60</v>
      </c>
      <c r="G56" s="119" t="s">
        <v>71</v>
      </c>
      <c r="H56" s="390">
        <v>2008</v>
      </c>
      <c r="I56" s="80" t="s">
        <v>23</v>
      </c>
      <c r="J56" s="2">
        <v>97.85</v>
      </c>
      <c r="K56" s="2">
        <v>2195.14</v>
      </c>
      <c r="L56" s="467">
        <f t="shared" si="1"/>
        <v>214794.44899999996</v>
      </c>
      <c r="M56" s="120"/>
      <c r="N56" s="120"/>
      <c r="O56" s="120"/>
      <c r="P56" s="120"/>
      <c r="Q56" s="120"/>
      <c r="R56" s="543"/>
    </row>
    <row r="57" spans="1:18" x14ac:dyDescent="0.25">
      <c r="A57" s="82"/>
      <c r="B57" s="148"/>
      <c r="C57" s="149"/>
      <c r="D57" s="118"/>
      <c r="E57" s="86"/>
      <c r="F57" s="135" t="s">
        <v>219</v>
      </c>
      <c r="G57" s="119" t="s">
        <v>65</v>
      </c>
      <c r="H57" s="390">
        <v>2010</v>
      </c>
      <c r="I57" s="80" t="s">
        <v>66</v>
      </c>
      <c r="J57" s="2">
        <v>181.17</v>
      </c>
      <c r="K57" s="2">
        <v>6529.6</v>
      </c>
      <c r="L57" s="467">
        <f t="shared" ref="L57:L59" si="5">J57*K57</f>
        <v>1182967.632</v>
      </c>
      <c r="M57" s="120"/>
      <c r="N57" s="120"/>
      <c r="O57" s="120"/>
      <c r="P57" s="120"/>
      <c r="Q57" s="120"/>
      <c r="R57" s="543"/>
    </row>
    <row r="58" spans="1:18" x14ac:dyDescent="0.25">
      <c r="A58" s="82"/>
      <c r="B58" s="148"/>
      <c r="C58" s="149"/>
      <c r="D58" s="123"/>
      <c r="E58" s="86"/>
      <c r="F58" s="145" t="s">
        <v>29</v>
      </c>
      <c r="G58" s="119">
        <v>1</v>
      </c>
      <c r="H58" s="390">
        <v>2017</v>
      </c>
      <c r="I58" s="89" t="s">
        <v>166</v>
      </c>
      <c r="J58" s="2">
        <f>36*12</f>
        <v>432</v>
      </c>
      <c r="K58" s="2">
        <v>5192</v>
      </c>
      <c r="L58" s="467">
        <f t="shared" si="5"/>
        <v>2242944</v>
      </c>
      <c r="M58" s="160"/>
      <c r="N58" s="160"/>
      <c r="O58" s="160"/>
      <c r="P58" s="160"/>
      <c r="Q58" s="160"/>
      <c r="R58" s="543"/>
    </row>
    <row r="59" spans="1:18" ht="15.75" thickBot="1" x14ac:dyDescent="0.3">
      <c r="A59" s="91"/>
      <c r="B59" s="139"/>
      <c r="C59" s="140"/>
      <c r="D59" s="128"/>
      <c r="E59" s="95"/>
      <c r="F59" s="95" t="s">
        <v>57</v>
      </c>
      <c r="G59" s="97">
        <v>3</v>
      </c>
      <c r="H59" s="395">
        <v>2017</v>
      </c>
      <c r="I59" s="98" t="s">
        <v>20</v>
      </c>
      <c r="J59" s="4">
        <f>335.73*3</f>
        <v>1007.19</v>
      </c>
      <c r="K59" s="4">
        <f>5408.75*1.3</f>
        <v>7031.375</v>
      </c>
      <c r="L59" s="464">
        <f t="shared" si="5"/>
        <v>7081930.5862500006</v>
      </c>
      <c r="M59" s="130">
        <f>SUM(L53:L59)</f>
        <v>11261389.87745</v>
      </c>
      <c r="N59" s="495">
        <f>M59</f>
        <v>11261389.87745</v>
      </c>
      <c r="O59" s="529">
        <v>2397690.2000000002</v>
      </c>
      <c r="P59" s="496">
        <v>500000</v>
      </c>
      <c r="Q59" s="497" t="s">
        <v>246</v>
      </c>
      <c r="R59" s="545"/>
    </row>
    <row r="60" spans="1:18" ht="15.75" thickTop="1" x14ac:dyDescent="0.25">
      <c r="A60" s="64">
        <v>11</v>
      </c>
      <c r="B60" s="110" t="s">
        <v>13</v>
      </c>
      <c r="C60" s="111" t="s">
        <v>72</v>
      </c>
      <c r="D60" s="132" t="s">
        <v>73</v>
      </c>
      <c r="E60" s="162" t="s">
        <v>26</v>
      </c>
      <c r="F60" s="112" t="s">
        <v>74</v>
      </c>
      <c r="G60" s="113" t="s">
        <v>75</v>
      </c>
      <c r="H60" s="393">
        <v>2010</v>
      </c>
      <c r="I60" s="114" t="s">
        <v>23</v>
      </c>
      <c r="J60" s="6">
        <v>90</v>
      </c>
      <c r="K60" s="6">
        <v>2195.14</v>
      </c>
      <c r="L60" s="466">
        <f t="shared" si="1"/>
        <v>197562.59999999998</v>
      </c>
      <c r="M60" s="115"/>
      <c r="N60" s="115"/>
      <c r="O60" s="115"/>
      <c r="P60" s="115"/>
      <c r="Q60" s="115"/>
      <c r="R60" s="543" t="s">
        <v>187</v>
      </c>
    </row>
    <row r="61" spans="1:18" x14ac:dyDescent="0.25">
      <c r="A61" s="116"/>
      <c r="B61" s="133"/>
      <c r="C61" s="134"/>
      <c r="D61" s="118"/>
      <c r="E61" s="163"/>
      <c r="F61" s="156" t="s">
        <v>60</v>
      </c>
      <c r="G61" s="136" t="s">
        <v>76</v>
      </c>
      <c r="H61" s="390">
        <v>2010</v>
      </c>
      <c r="I61" s="137" t="s">
        <v>23</v>
      </c>
      <c r="J61" s="8">
        <v>108</v>
      </c>
      <c r="K61" s="8">
        <v>2195.14</v>
      </c>
      <c r="L61" s="467">
        <f t="shared" si="1"/>
        <v>237075.12</v>
      </c>
      <c r="M61" s="120"/>
      <c r="N61" s="120"/>
      <c r="O61" s="120"/>
      <c r="P61" s="120"/>
      <c r="Q61" s="120"/>
      <c r="R61" s="543"/>
    </row>
    <row r="62" spans="1:18" x14ac:dyDescent="0.25">
      <c r="A62" s="116"/>
      <c r="B62" s="133"/>
      <c r="C62" s="134"/>
      <c r="D62" s="118"/>
      <c r="E62" s="163"/>
      <c r="F62" s="156" t="s">
        <v>60</v>
      </c>
      <c r="G62" s="136" t="s">
        <v>77</v>
      </c>
      <c r="H62" s="390">
        <v>2010</v>
      </c>
      <c r="I62" s="137" t="s">
        <v>23</v>
      </c>
      <c r="J62" s="8">
        <v>123.78</v>
      </c>
      <c r="K62" s="8">
        <v>2195.14</v>
      </c>
      <c r="L62" s="467">
        <f t="shared" si="1"/>
        <v>271714.42920000001</v>
      </c>
      <c r="M62" s="120"/>
      <c r="N62" s="120"/>
      <c r="O62" s="120"/>
      <c r="P62" s="120"/>
      <c r="Q62" s="120"/>
      <c r="R62" s="543"/>
    </row>
    <row r="63" spans="1:18" x14ac:dyDescent="0.25">
      <c r="A63" s="116"/>
      <c r="B63" s="133"/>
      <c r="C63" s="134"/>
      <c r="D63" s="118"/>
      <c r="E63" s="163"/>
      <c r="F63" s="156" t="s">
        <v>60</v>
      </c>
      <c r="G63" s="136" t="s">
        <v>22</v>
      </c>
      <c r="H63" s="390">
        <v>2010</v>
      </c>
      <c r="I63" s="137" t="s">
        <v>23</v>
      </c>
      <c r="J63" s="8">
        <v>133.78</v>
      </c>
      <c r="K63" s="8">
        <v>2195.14</v>
      </c>
      <c r="L63" s="467">
        <f t="shared" si="1"/>
        <v>293665.82919999998</v>
      </c>
      <c r="M63" s="120"/>
      <c r="N63" s="120"/>
      <c r="O63" s="120"/>
      <c r="P63" s="120"/>
      <c r="Q63" s="120"/>
      <c r="R63" s="543"/>
    </row>
    <row r="64" spans="1:18" ht="15.75" thickBot="1" x14ac:dyDescent="0.3">
      <c r="A64" s="91"/>
      <c r="B64" s="139"/>
      <c r="C64" s="140"/>
      <c r="D64" s="128"/>
      <c r="E64" s="164"/>
      <c r="F64" s="96" t="s">
        <v>78</v>
      </c>
      <c r="G64" s="165" t="s">
        <v>79</v>
      </c>
      <c r="H64" s="395">
        <v>2012</v>
      </c>
      <c r="I64" s="166" t="s">
        <v>23</v>
      </c>
      <c r="J64" s="9">
        <v>17.84</v>
      </c>
      <c r="K64" s="9">
        <v>2414.65</v>
      </c>
      <c r="L64" s="464">
        <f t="shared" si="1"/>
        <v>43077.356</v>
      </c>
      <c r="M64" s="130">
        <f>SUM(L60:L64)</f>
        <v>1043095.3343999999</v>
      </c>
      <c r="N64" s="495">
        <f>M64</f>
        <v>1043095.3343999999</v>
      </c>
      <c r="O64" s="529">
        <v>1079594.6499999999</v>
      </c>
      <c r="P64" s="496">
        <v>500000</v>
      </c>
      <c r="Q64" s="497" t="s">
        <v>246</v>
      </c>
      <c r="R64" s="545"/>
    </row>
    <row r="65" spans="1:18" ht="15.75" thickTop="1" x14ac:dyDescent="0.25">
      <c r="A65" s="64">
        <v>12</v>
      </c>
      <c r="B65" s="110" t="s">
        <v>13</v>
      </c>
      <c r="C65" s="111" t="s">
        <v>80</v>
      </c>
      <c r="D65" s="132" t="s">
        <v>81</v>
      </c>
      <c r="E65" s="162" t="s">
        <v>26</v>
      </c>
      <c r="F65" s="162" t="s">
        <v>82</v>
      </c>
      <c r="G65" s="167">
        <v>1</v>
      </c>
      <c r="H65" s="399">
        <v>2008</v>
      </c>
      <c r="I65" s="168" t="s">
        <v>32</v>
      </c>
      <c r="J65" s="10">
        <v>197.62</v>
      </c>
      <c r="K65" s="10">
        <v>5949.63</v>
      </c>
      <c r="L65" s="466">
        <f t="shared" si="1"/>
        <v>1175765.8806</v>
      </c>
      <c r="M65" s="115"/>
      <c r="N65" s="115"/>
      <c r="O65" s="115"/>
      <c r="P65" s="115"/>
      <c r="Q65" s="115"/>
      <c r="R65" s="542" t="s">
        <v>188</v>
      </c>
    </row>
    <row r="66" spans="1:18" x14ac:dyDescent="0.25">
      <c r="A66" s="151"/>
      <c r="B66" s="152"/>
      <c r="C66" s="153"/>
      <c r="D66" s="154"/>
      <c r="E66" s="169"/>
      <c r="F66" s="170" t="s">
        <v>21</v>
      </c>
      <c r="G66" s="171" t="s">
        <v>22</v>
      </c>
      <c r="H66" s="400">
        <v>2008</v>
      </c>
      <c r="I66" s="137" t="s">
        <v>23</v>
      </c>
      <c r="J66" s="11">
        <v>133.78</v>
      </c>
      <c r="K66" s="11">
        <v>2195.14</v>
      </c>
      <c r="L66" s="468">
        <f t="shared" si="1"/>
        <v>293665.82919999998</v>
      </c>
      <c r="M66" s="159"/>
      <c r="N66" s="159"/>
      <c r="O66" s="159"/>
      <c r="P66" s="159"/>
      <c r="Q66" s="159"/>
      <c r="R66" s="543"/>
    </row>
    <row r="67" spans="1:18" ht="15.75" thickBot="1" x14ac:dyDescent="0.3">
      <c r="A67" s="172"/>
      <c r="B67" s="173"/>
      <c r="C67" s="174"/>
      <c r="D67" s="128"/>
      <c r="E67" s="164"/>
      <c r="F67" s="175" t="s">
        <v>21</v>
      </c>
      <c r="G67" s="176" t="s">
        <v>36</v>
      </c>
      <c r="H67" s="401">
        <v>2008</v>
      </c>
      <c r="I67" s="98" t="s">
        <v>23</v>
      </c>
      <c r="J67" s="12">
        <v>88.81</v>
      </c>
      <c r="K67" s="12">
        <v>2195.14</v>
      </c>
      <c r="L67" s="464">
        <f t="shared" si="1"/>
        <v>194950.38339999999</v>
      </c>
      <c r="M67" s="130">
        <f>SUM(L65:L67)</f>
        <v>1664382.0932</v>
      </c>
      <c r="N67" s="498">
        <f>M67</f>
        <v>1664382.0932</v>
      </c>
      <c r="O67" s="529">
        <v>1962487.56</v>
      </c>
      <c r="P67" s="499">
        <v>500000</v>
      </c>
      <c r="Q67" s="500" t="s">
        <v>246</v>
      </c>
      <c r="R67" s="545"/>
    </row>
    <row r="68" spans="1:18" ht="15.75" thickTop="1" x14ac:dyDescent="0.25">
      <c r="A68" s="177">
        <v>13</v>
      </c>
      <c r="B68" s="178" t="s">
        <v>13</v>
      </c>
      <c r="C68" s="179"/>
      <c r="D68" s="180" t="s">
        <v>83</v>
      </c>
      <c r="E68" s="181" t="s">
        <v>35</v>
      </c>
      <c r="F68" s="182" t="s">
        <v>21</v>
      </c>
      <c r="G68" s="183" t="s">
        <v>170</v>
      </c>
      <c r="H68" s="402">
        <v>2014</v>
      </c>
      <c r="I68" s="184" t="s">
        <v>23</v>
      </c>
      <c r="J68" s="33">
        <v>174</v>
      </c>
      <c r="K68" s="11">
        <v>2195.14</v>
      </c>
      <c r="L68" s="468">
        <f>J68*K68</f>
        <v>381954.36</v>
      </c>
      <c r="M68" s="185"/>
      <c r="N68" s="185"/>
      <c r="O68" s="185"/>
      <c r="P68" s="185"/>
      <c r="Q68" s="185"/>
      <c r="R68" s="542" t="s">
        <v>189</v>
      </c>
    </row>
    <row r="69" spans="1:18" x14ac:dyDescent="0.25">
      <c r="A69" s="82"/>
      <c r="B69" s="83"/>
      <c r="C69" s="186"/>
      <c r="D69" s="123"/>
      <c r="E69" s="187"/>
      <c r="F69" s="188" t="s">
        <v>21</v>
      </c>
      <c r="G69" s="119" t="s">
        <v>22</v>
      </c>
      <c r="H69" s="390">
        <v>2014</v>
      </c>
      <c r="I69" s="80" t="s">
        <v>23</v>
      </c>
      <c r="J69" s="20">
        <v>133.80000000000001</v>
      </c>
      <c r="K69" s="13">
        <v>2195.14</v>
      </c>
      <c r="L69" s="469">
        <f>J69*K69</f>
        <v>293709.73200000002</v>
      </c>
      <c r="M69" s="190"/>
      <c r="N69" s="190"/>
      <c r="O69" s="190"/>
      <c r="P69" s="190"/>
      <c r="Q69" s="190"/>
      <c r="R69" s="543"/>
    </row>
    <row r="70" spans="1:18" x14ac:dyDescent="0.25">
      <c r="A70" s="82"/>
      <c r="B70" s="83"/>
      <c r="C70" s="186"/>
      <c r="D70" s="123"/>
      <c r="E70" s="187"/>
      <c r="F70" s="188" t="s">
        <v>21</v>
      </c>
      <c r="G70" s="119" t="s">
        <v>22</v>
      </c>
      <c r="H70" s="390">
        <v>2014</v>
      </c>
      <c r="I70" s="191" t="s">
        <v>23</v>
      </c>
      <c r="J70" s="20">
        <v>133.80000000000001</v>
      </c>
      <c r="K70" s="13">
        <v>2195.14</v>
      </c>
      <c r="L70" s="469">
        <f>J70*K70</f>
        <v>293709.73200000002</v>
      </c>
      <c r="M70" s="190"/>
      <c r="N70" s="190"/>
      <c r="O70" s="190"/>
      <c r="P70" s="190"/>
      <c r="Q70" s="190"/>
      <c r="R70" s="543"/>
    </row>
    <row r="71" spans="1:18" ht="15.75" thickBot="1" x14ac:dyDescent="0.3">
      <c r="A71" s="91"/>
      <c r="B71" s="92"/>
      <c r="C71" s="174"/>
      <c r="D71" s="128"/>
      <c r="E71" s="164"/>
      <c r="F71" s="192" t="s">
        <v>21</v>
      </c>
      <c r="G71" s="97" t="s">
        <v>169</v>
      </c>
      <c r="H71" s="390">
        <v>2014</v>
      </c>
      <c r="I71" s="98" t="s">
        <v>23</v>
      </c>
      <c r="J71" s="14">
        <v>66.900000000000006</v>
      </c>
      <c r="K71" s="14">
        <v>2195.14</v>
      </c>
      <c r="L71" s="470">
        <f>J71*K71</f>
        <v>146854.86600000001</v>
      </c>
      <c r="M71" s="130">
        <f>SUM(L68:L71)</f>
        <v>1116228.69</v>
      </c>
      <c r="N71" s="498">
        <f>M71</f>
        <v>1116228.69</v>
      </c>
      <c r="O71" s="529">
        <v>816269.56</v>
      </c>
      <c r="P71" s="499">
        <v>500000</v>
      </c>
      <c r="Q71" s="500" t="s">
        <v>246</v>
      </c>
      <c r="R71" s="545"/>
    </row>
    <row r="72" spans="1:18" ht="15.75" thickTop="1" x14ac:dyDescent="0.25">
      <c r="A72" s="141">
        <v>14</v>
      </c>
      <c r="B72" s="142" t="s">
        <v>13</v>
      </c>
      <c r="C72" s="193"/>
      <c r="D72" s="144" t="s">
        <v>85</v>
      </c>
      <c r="E72" s="194" t="s">
        <v>35</v>
      </c>
      <c r="F72" s="195" t="s">
        <v>60</v>
      </c>
      <c r="G72" s="196" t="s">
        <v>36</v>
      </c>
      <c r="H72" s="403">
        <v>2012</v>
      </c>
      <c r="I72" s="147" t="s">
        <v>23</v>
      </c>
      <c r="J72" s="15">
        <v>89.19</v>
      </c>
      <c r="K72" s="15">
        <v>2195.14</v>
      </c>
      <c r="L72" s="467">
        <f t="shared" si="1"/>
        <v>195784.53659999999</v>
      </c>
      <c r="M72" s="120"/>
      <c r="N72" s="120"/>
      <c r="O72" s="120"/>
      <c r="P72" s="120"/>
      <c r="Q72" s="120"/>
      <c r="R72" s="542" t="s">
        <v>190</v>
      </c>
    </row>
    <row r="73" spans="1:18" x14ac:dyDescent="0.25">
      <c r="A73" s="197"/>
      <c r="B73" s="198"/>
      <c r="C73" s="199"/>
      <c r="D73" s="118"/>
      <c r="E73" s="163"/>
      <c r="F73" s="170" t="s">
        <v>60</v>
      </c>
      <c r="G73" s="200" t="s">
        <v>36</v>
      </c>
      <c r="H73" s="404">
        <v>2012</v>
      </c>
      <c r="I73" s="80" t="s">
        <v>23</v>
      </c>
      <c r="J73" s="16">
        <v>89.19</v>
      </c>
      <c r="K73" s="16">
        <v>2195.14</v>
      </c>
      <c r="L73" s="467">
        <f t="shared" si="1"/>
        <v>195784.53659999999</v>
      </c>
      <c r="M73" s="120"/>
      <c r="N73" s="120"/>
      <c r="O73" s="120"/>
      <c r="P73" s="120"/>
      <c r="Q73" s="120"/>
      <c r="R73" s="543"/>
    </row>
    <row r="74" spans="1:18" ht="15.75" thickBot="1" x14ac:dyDescent="0.3">
      <c r="A74" s="116"/>
      <c r="B74" s="133"/>
      <c r="C74" s="134"/>
      <c r="D74" s="118"/>
      <c r="E74" s="78"/>
      <c r="F74" s="135" t="s">
        <v>21</v>
      </c>
      <c r="G74" s="119" t="s">
        <v>223</v>
      </c>
      <c r="H74" s="405">
        <v>2012</v>
      </c>
      <c r="I74" s="80" t="s">
        <v>23</v>
      </c>
      <c r="J74" s="2">
        <v>74.349999999999994</v>
      </c>
      <c r="K74" s="2">
        <v>2195.14</v>
      </c>
      <c r="L74" s="467">
        <f t="shared" si="1"/>
        <v>163208.65899999999</v>
      </c>
      <c r="M74" s="120"/>
      <c r="N74" s="120"/>
      <c r="O74" s="120"/>
      <c r="P74" s="120"/>
      <c r="Q74" s="120"/>
      <c r="R74" s="543"/>
    </row>
    <row r="75" spans="1:18" ht="16.5" thickTop="1" thickBot="1" x14ac:dyDescent="0.3">
      <c r="A75" s="172"/>
      <c r="B75" s="173"/>
      <c r="C75" s="174"/>
      <c r="D75" s="128"/>
      <c r="E75" s="164"/>
      <c r="F75" s="201" t="s">
        <v>78</v>
      </c>
      <c r="G75" s="165" t="s">
        <v>86</v>
      </c>
      <c r="H75" s="405">
        <v>2012</v>
      </c>
      <c r="I75" s="166" t="s">
        <v>23</v>
      </c>
      <c r="J75" s="14">
        <v>44.6</v>
      </c>
      <c r="K75" s="17">
        <v>2414.65</v>
      </c>
      <c r="L75" s="470">
        <f t="shared" si="1"/>
        <v>107693.39000000001</v>
      </c>
      <c r="M75" s="130">
        <f>SUM(L72:L75)</f>
        <v>662471.12219999998</v>
      </c>
      <c r="N75" s="130">
        <f>M75</f>
        <v>662471.12219999998</v>
      </c>
      <c r="O75" s="530">
        <v>321980.09000000003</v>
      </c>
      <c r="P75" s="130">
        <v>500000</v>
      </c>
      <c r="Q75" s="130" t="s">
        <v>246</v>
      </c>
      <c r="R75" s="545"/>
    </row>
    <row r="76" spans="1:18" ht="15.75" thickTop="1" x14ac:dyDescent="0.25">
      <c r="A76" s="141">
        <v>15</v>
      </c>
      <c r="B76" s="142" t="s">
        <v>13</v>
      </c>
      <c r="C76" s="193"/>
      <c r="D76" s="144" t="s">
        <v>87</v>
      </c>
      <c r="E76" s="202" t="s">
        <v>35</v>
      </c>
      <c r="F76" s="163" t="s">
        <v>60</v>
      </c>
      <c r="G76" s="171" t="s">
        <v>22</v>
      </c>
      <c r="H76" s="404">
        <v>2012</v>
      </c>
      <c r="I76" s="80" t="s">
        <v>23</v>
      </c>
      <c r="J76" s="15">
        <v>133.78</v>
      </c>
      <c r="K76" s="15">
        <v>2195.14</v>
      </c>
      <c r="L76" s="467">
        <f t="shared" si="1"/>
        <v>293665.82919999998</v>
      </c>
      <c r="M76" s="120"/>
      <c r="N76" s="120"/>
      <c r="O76" s="120"/>
      <c r="P76" s="120"/>
      <c r="Q76" s="120"/>
      <c r="R76" s="542" t="s">
        <v>214</v>
      </c>
    </row>
    <row r="77" spans="1:18" x14ac:dyDescent="0.25">
      <c r="A77" s="141"/>
      <c r="B77" s="142"/>
      <c r="C77" s="193"/>
      <c r="D77" s="144"/>
      <c r="E77" s="202"/>
      <c r="F77" s="170" t="s">
        <v>60</v>
      </c>
      <c r="G77" s="171" t="s">
        <v>22</v>
      </c>
      <c r="H77" s="404">
        <v>2012</v>
      </c>
      <c r="I77" s="137" t="s">
        <v>23</v>
      </c>
      <c r="J77" s="13">
        <v>133.78</v>
      </c>
      <c r="K77" s="13">
        <v>2195.14</v>
      </c>
      <c r="L77" s="468">
        <f t="shared" ref="L77:L78" si="6">J77*K77</f>
        <v>293665.82919999998</v>
      </c>
      <c r="M77" s="120"/>
      <c r="N77" s="120"/>
      <c r="O77" s="120"/>
      <c r="P77" s="120"/>
      <c r="Q77" s="120"/>
      <c r="R77" s="543"/>
    </row>
    <row r="78" spans="1:18" x14ac:dyDescent="0.25">
      <c r="A78" s="116"/>
      <c r="B78" s="133"/>
      <c r="C78" s="134"/>
      <c r="D78" s="118"/>
      <c r="E78" s="78"/>
      <c r="F78" s="135" t="s">
        <v>21</v>
      </c>
      <c r="G78" s="119" t="s">
        <v>223</v>
      </c>
      <c r="H78" s="404">
        <v>2012</v>
      </c>
      <c r="I78" s="80" t="s">
        <v>23</v>
      </c>
      <c r="J78" s="2">
        <v>89.3</v>
      </c>
      <c r="K78" s="2">
        <v>2195.14</v>
      </c>
      <c r="L78" s="467">
        <f t="shared" si="6"/>
        <v>196026.00199999998</v>
      </c>
      <c r="M78" s="120"/>
      <c r="N78" s="120"/>
      <c r="O78" s="120"/>
      <c r="P78" s="120"/>
      <c r="Q78" s="120"/>
      <c r="R78" s="543"/>
    </row>
    <row r="79" spans="1:18" ht="15.75" thickBot="1" x14ac:dyDescent="0.3">
      <c r="A79" s="203"/>
      <c r="B79" s="173"/>
      <c r="C79" s="174"/>
      <c r="D79" s="128"/>
      <c r="E79" s="173"/>
      <c r="F79" s="96" t="s">
        <v>78</v>
      </c>
      <c r="G79" s="165" t="s">
        <v>86</v>
      </c>
      <c r="H79" s="405">
        <v>2012</v>
      </c>
      <c r="I79" s="166" t="s">
        <v>23</v>
      </c>
      <c r="J79" s="14">
        <v>44.6</v>
      </c>
      <c r="K79" s="17">
        <v>2414.65</v>
      </c>
      <c r="L79" s="470">
        <f t="shared" si="1"/>
        <v>107693.39000000001</v>
      </c>
      <c r="M79" s="342">
        <f>SUM(L76:L79)</f>
        <v>891051.05039999995</v>
      </c>
      <c r="N79" s="498">
        <f>M79</f>
        <v>891051.05039999995</v>
      </c>
      <c r="O79" s="529">
        <v>50000</v>
      </c>
      <c r="P79" s="499">
        <v>500000</v>
      </c>
      <c r="Q79" s="500" t="s">
        <v>246</v>
      </c>
      <c r="R79" s="545"/>
    </row>
    <row r="80" spans="1:18" ht="61.5" thickTop="1" thickBot="1" x14ac:dyDescent="0.3">
      <c r="A80" s="100">
        <v>16</v>
      </c>
      <c r="B80" s="101" t="s">
        <v>13</v>
      </c>
      <c r="C80" s="204" t="s">
        <v>88</v>
      </c>
      <c r="D80" s="205" t="s">
        <v>89</v>
      </c>
      <c r="E80" s="206" t="s">
        <v>26</v>
      </c>
      <c r="F80" s="104" t="s">
        <v>27</v>
      </c>
      <c r="G80" s="105">
        <v>2</v>
      </c>
      <c r="H80" s="388">
        <v>2012</v>
      </c>
      <c r="I80" s="106" t="s">
        <v>18</v>
      </c>
      <c r="J80" s="5">
        <f>(437.63*2)</f>
        <v>875.26</v>
      </c>
      <c r="K80" s="5">
        <v>8345.6299999999992</v>
      </c>
      <c r="L80" s="465">
        <f>J80*K80</f>
        <v>7304596.1137999995</v>
      </c>
      <c r="M80" s="130">
        <f>SUM(L80:L80)</f>
        <v>7304596.1137999995</v>
      </c>
      <c r="N80" s="501">
        <v>7304596.1137999995</v>
      </c>
      <c r="O80" s="536">
        <v>1275325.31</v>
      </c>
      <c r="P80" s="504">
        <v>1000000</v>
      </c>
      <c r="Q80" s="505" t="s">
        <v>246</v>
      </c>
      <c r="R80" s="207" t="s">
        <v>179</v>
      </c>
    </row>
    <row r="81" spans="1:18" ht="15.75" thickTop="1" x14ac:dyDescent="0.25">
      <c r="A81" s="109">
        <v>17</v>
      </c>
      <c r="B81" s="208" t="s">
        <v>90</v>
      </c>
      <c r="C81" s="111" t="s">
        <v>91</v>
      </c>
      <c r="D81" s="132" t="s">
        <v>92</v>
      </c>
      <c r="E81" s="168" t="s">
        <v>26</v>
      </c>
      <c r="F81" s="168" t="s">
        <v>164</v>
      </c>
      <c r="G81" s="208">
        <v>3</v>
      </c>
      <c r="H81" s="406">
        <v>2006</v>
      </c>
      <c r="I81" s="114" t="s">
        <v>20</v>
      </c>
      <c r="J81" s="6">
        <f>335.54*3</f>
        <v>1006.6200000000001</v>
      </c>
      <c r="K81" s="6">
        <v>6490.5</v>
      </c>
      <c r="L81" s="466">
        <f t="shared" si="1"/>
        <v>6533467.1100000003</v>
      </c>
      <c r="M81" s="115"/>
      <c r="N81" s="71"/>
      <c r="O81" s="115"/>
      <c r="P81" s="71"/>
      <c r="Q81" s="71"/>
      <c r="R81" s="549" t="s">
        <v>191</v>
      </c>
    </row>
    <row r="82" spans="1:18" x14ac:dyDescent="0.25">
      <c r="A82" s="209"/>
      <c r="B82" s="210"/>
      <c r="C82" s="211"/>
      <c r="D82" s="118"/>
      <c r="E82" s="198"/>
      <c r="F82" s="198" t="s">
        <v>57</v>
      </c>
      <c r="G82" s="210">
        <v>3</v>
      </c>
      <c r="H82" s="407">
        <v>2004</v>
      </c>
      <c r="I82" s="147" t="s">
        <v>20</v>
      </c>
      <c r="J82" s="2">
        <f>335.73*3</f>
        <v>1007.19</v>
      </c>
      <c r="K82" s="2">
        <v>6490.5</v>
      </c>
      <c r="L82" s="467">
        <f t="shared" si="1"/>
        <v>6537166.6950000003</v>
      </c>
      <c r="M82" s="81"/>
      <c r="N82" s="81"/>
      <c r="O82" s="81"/>
      <c r="P82" s="81"/>
      <c r="Q82" s="81"/>
      <c r="R82" s="550"/>
    </row>
    <row r="83" spans="1:18" x14ac:dyDescent="0.25">
      <c r="A83" s="212"/>
      <c r="B83" s="213"/>
      <c r="C83" s="214"/>
      <c r="D83" s="123"/>
      <c r="E83" s="125"/>
      <c r="F83" s="198" t="s">
        <v>58</v>
      </c>
      <c r="G83" s="213">
        <v>3</v>
      </c>
      <c r="H83" s="407">
        <v>2008</v>
      </c>
      <c r="I83" s="147" t="s">
        <v>20</v>
      </c>
      <c r="J83" s="2">
        <f>252.3*3</f>
        <v>756.90000000000009</v>
      </c>
      <c r="K83" s="2">
        <v>7031.38</v>
      </c>
      <c r="L83" s="467">
        <f t="shared" si="1"/>
        <v>5322051.5220000008</v>
      </c>
      <c r="M83" s="81"/>
      <c r="N83" s="81"/>
      <c r="O83" s="81"/>
      <c r="P83" s="81"/>
      <c r="Q83" s="81"/>
      <c r="R83" s="550"/>
    </row>
    <row r="84" spans="1:18" x14ac:dyDescent="0.25">
      <c r="A84" s="212"/>
      <c r="B84" s="213"/>
      <c r="C84" s="214"/>
      <c r="D84" s="123"/>
      <c r="E84" s="125"/>
      <c r="F84" s="198" t="s">
        <v>93</v>
      </c>
      <c r="G84" s="213">
        <v>2</v>
      </c>
      <c r="H84" s="407">
        <v>1999</v>
      </c>
      <c r="I84" s="147" t="s">
        <v>18</v>
      </c>
      <c r="J84" s="18">
        <f>(374.98*2)</f>
        <v>749.96</v>
      </c>
      <c r="K84" s="18">
        <v>8345.6299999999992</v>
      </c>
      <c r="L84" s="467">
        <f t="shared" si="1"/>
        <v>6258888.6748000002</v>
      </c>
      <c r="M84" s="81"/>
      <c r="N84" s="81"/>
      <c r="O84" s="81"/>
      <c r="P84" s="81"/>
      <c r="Q84" s="81"/>
      <c r="R84" s="550"/>
    </row>
    <row r="85" spans="1:18" x14ac:dyDescent="0.25">
      <c r="A85" s="212"/>
      <c r="B85" s="213"/>
      <c r="C85" s="214"/>
      <c r="D85" s="123"/>
      <c r="E85" s="125"/>
      <c r="F85" s="198" t="s">
        <v>94</v>
      </c>
      <c r="G85" s="213">
        <v>2</v>
      </c>
      <c r="H85" s="407">
        <v>2001</v>
      </c>
      <c r="I85" s="147" t="s">
        <v>18</v>
      </c>
      <c r="J85" s="18">
        <f>(347.23*2)</f>
        <v>694.46</v>
      </c>
      <c r="K85" s="18">
        <v>8345.6299999999992</v>
      </c>
      <c r="L85" s="467">
        <f t="shared" ref="L85:L156" si="7">J85*K85</f>
        <v>5795706.2097999994</v>
      </c>
      <c r="M85" s="81"/>
      <c r="N85" s="81"/>
      <c r="O85" s="81"/>
      <c r="P85" s="81"/>
      <c r="Q85" s="81"/>
      <c r="R85" s="550"/>
    </row>
    <row r="86" spans="1:18" x14ac:dyDescent="0.25">
      <c r="A86" s="212"/>
      <c r="B86" s="213"/>
      <c r="C86" s="214"/>
      <c r="D86" s="123"/>
      <c r="E86" s="125"/>
      <c r="F86" s="198" t="s">
        <v>28</v>
      </c>
      <c r="G86" s="213">
        <v>1</v>
      </c>
      <c r="H86" s="407">
        <v>2006</v>
      </c>
      <c r="I86" s="147" t="s">
        <v>20</v>
      </c>
      <c r="J86" s="2">
        <v>210.69</v>
      </c>
      <c r="K86" s="2">
        <v>7594.1</v>
      </c>
      <c r="L86" s="467">
        <f t="shared" si="7"/>
        <v>1600000.929</v>
      </c>
      <c r="M86" s="81"/>
      <c r="N86" s="81"/>
      <c r="O86" s="81"/>
      <c r="P86" s="81"/>
      <c r="Q86" s="81"/>
      <c r="R86" s="550"/>
    </row>
    <row r="87" spans="1:18" x14ac:dyDescent="0.25">
      <c r="A87" s="212"/>
      <c r="B87" s="213"/>
      <c r="C87" s="214"/>
      <c r="D87" s="123"/>
      <c r="E87" s="125"/>
      <c r="F87" s="125" t="s">
        <v>29</v>
      </c>
      <c r="G87" s="213">
        <v>1</v>
      </c>
      <c r="H87" s="407">
        <v>2001</v>
      </c>
      <c r="I87" s="147" t="s">
        <v>20</v>
      </c>
      <c r="J87" s="2">
        <v>611.77</v>
      </c>
      <c r="K87" s="2">
        <v>7070.82</v>
      </c>
      <c r="L87" s="467">
        <f t="shared" si="7"/>
        <v>4325715.5513999993</v>
      </c>
      <c r="M87" s="81"/>
      <c r="N87" s="81"/>
      <c r="O87" s="81"/>
      <c r="P87" s="81"/>
      <c r="Q87" s="81"/>
      <c r="R87" s="550"/>
    </row>
    <row r="88" spans="1:18" x14ac:dyDescent="0.25">
      <c r="A88" s="212"/>
      <c r="B88" s="213"/>
      <c r="C88" s="214"/>
      <c r="D88" s="123"/>
      <c r="E88" s="125"/>
      <c r="F88" s="125" t="s">
        <v>82</v>
      </c>
      <c r="G88" s="213">
        <v>1</v>
      </c>
      <c r="H88" s="407">
        <v>2001</v>
      </c>
      <c r="I88" s="125" t="s">
        <v>32</v>
      </c>
      <c r="J88" s="18">
        <v>148.41999999999999</v>
      </c>
      <c r="K88" s="18">
        <v>5949.63</v>
      </c>
      <c r="L88" s="467">
        <f t="shared" si="7"/>
        <v>883044.08459999994</v>
      </c>
      <c r="M88" s="81"/>
      <c r="N88" s="81"/>
      <c r="O88" s="81"/>
      <c r="P88" s="81"/>
      <c r="Q88" s="81"/>
      <c r="R88" s="550"/>
    </row>
    <row r="89" spans="1:18" ht="15.75" thickBot="1" x14ac:dyDescent="0.3">
      <c r="A89" s="203"/>
      <c r="B89" s="215"/>
      <c r="C89" s="216"/>
      <c r="D89" s="128"/>
      <c r="E89" s="173"/>
      <c r="F89" s="173" t="s">
        <v>95</v>
      </c>
      <c r="G89" s="215">
        <v>1</v>
      </c>
      <c r="H89" s="411">
        <v>2001</v>
      </c>
      <c r="I89" s="173" t="s">
        <v>96</v>
      </c>
      <c r="J89" s="12">
        <v>75.5</v>
      </c>
      <c r="K89" s="12">
        <v>1975.63</v>
      </c>
      <c r="L89" s="464">
        <f t="shared" si="7"/>
        <v>149160.065</v>
      </c>
      <c r="M89" s="130">
        <f>SUM(L81:L89)</f>
        <v>37405200.841600001</v>
      </c>
      <c r="N89" s="501">
        <f>M89</f>
        <v>37405200.841600001</v>
      </c>
      <c r="O89" s="534">
        <v>9791667.5700000003</v>
      </c>
      <c r="P89" s="502">
        <v>1000000</v>
      </c>
      <c r="Q89" s="503" t="s">
        <v>246</v>
      </c>
      <c r="R89" s="551"/>
    </row>
    <row r="90" spans="1:18" ht="15.75" thickTop="1" x14ac:dyDescent="0.25">
      <c r="A90" s="64">
        <v>18</v>
      </c>
      <c r="B90" s="208" t="s">
        <v>90</v>
      </c>
      <c r="C90" s="111" t="s">
        <v>97</v>
      </c>
      <c r="D90" s="217" t="s">
        <v>98</v>
      </c>
      <c r="E90" s="218" t="s">
        <v>26</v>
      </c>
      <c r="F90" s="219" t="s">
        <v>57</v>
      </c>
      <c r="G90" s="220">
        <v>3</v>
      </c>
      <c r="H90" s="406">
        <v>2006</v>
      </c>
      <c r="I90" s="114" t="s">
        <v>20</v>
      </c>
      <c r="J90" s="1">
        <f>335.73*3</f>
        <v>1007.19</v>
      </c>
      <c r="K90" s="1">
        <v>6490.5</v>
      </c>
      <c r="L90" s="466">
        <f t="shared" si="7"/>
        <v>6537166.6950000003</v>
      </c>
      <c r="M90" s="115"/>
      <c r="N90" s="115"/>
      <c r="O90" s="115"/>
      <c r="P90" s="115"/>
      <c r="Q90" s="115"/>
      <c r="R90" s="549" t="s">
        <v>192</v>
      </c>
    </row>
    <row r="91" spans="1:18" x14ac:dyDescent="0.25">
      <c r="A91" s="209"/>
      <c r="B91" s="202"/>
      <c r="C91" s="193"/>
      <c r="D91" s="118"/>
      <c r="E91" s="198"/>
      <c r="F91" s="198" t="s">
        <v>58</v>
      </c>
      <c r="G91" s="213">
        <v>3</v>
      </c>
      <c r="H91" s="407">
        <v>2009</v>
      </c>
      <c r="I91" s="147" t="s">
        <v>20</v>
      </c>
      <c r="J91" s="2">
        <f>252.3*3</f>
        <v>756.90000000000009</v>
      </c>
      <c r="K91" s="2">
        <v>7031.38</v>
      </c>
      <c r="L91" s="467">
        <f t="shared" si="7"/>
        <v>5322051.5220000008</v>
      </c>
      <c r="M91" s="120"/>
      <c r="N91" s="120"/>
      <c r="O91" s="120"/>
      <c r="P91" s="120"/>
      <c r="Q91" s="120"/>
      <c r="R91" s="550"/>
    </row>
    <row r="92" spans="1:18" x14ac:dyDescent="0.25">
      <c r="A92" s="209"/>
      <c r="B92" s="202"/>
      <c r="C92" s="193"/>
      <c r="D92" s="118"/>
      <c r="E92" s="198"/>
      <c r="F92" s="198" t="s">
        <v>93</v>
      </c>
      <c r="G92" s="213">
        <v>2</v>
      </c>
      <c r="H92" s="407">
        <v>2000</v>
      </c>
      <c r="I92" s="147" t="s">
        <v>18</v>
      </c>
      <c r="J92" s="18">
        <f>(374.98*2)</f>
        <v>749.96</v>
      </c>
      <c r="K92" s="16">
        <v>8345.6299999999992</v>
      </c>
      <c r="L92" s="467">
        <f t="shared" si="7"/>
        <v>6258888.6748000002</v>
      </c>
      <c r="M92" s="120"/>
      <c r="N92" s="120"/>
      <c r="O92" s="120"/>
      <c r="P92" s="120"/>
      <c r="Q92" s="120"/>
      <c r="R92" s="550"/>
    </row>
    <row r="93" spans="1:18" x14ac:dyDescent="0.25">
      <c r="A93" s="209"/>
      <c r="B93" s="198"/>
      <c r="C93" s="199"/>
      <c r="D93" s="118"/>
      <c r="E93" s="198"/>
      <c r="F93" s="198" t="s">
        <v>94</v>
      </c>
      <c r="G93" s="210">
        <v>2</v>
      </c>
      <c r="H93" s="407">
        <v>2001</v>
      </c>
      <c r="I93" s="147" t="s">
        <v>18</v>
      </c>
      <c r="J93" s="18">
        <f>(347.23*2)</f>
        <v>694.46</v>
      </c>
      <c r="K93" s="16">
        <v>8345.6299999999992</v>
      </c>
      <c r="L93" s="467">
        <f t="shared" si="7"/>
        <v>5795706.2097999994</v>
      </c>
      <c r="M93" s="120"/>
      <c r="N93" s="120"/>
      <c r="O93" s="120"/>
      <c r="P93" s="120"/>
      <c r="Q93" s="120"/>
      <c r="R93" s="550"/>
    </row>
    <row r="94" spans="1:18" x14ac:dyDescent="0.25">
      <c r="A94" s="212"/>
      <c r="B94" s="125"/>
      <c r="C94" s="186"/>
      <c r="D94" s="123"/>
      <c r="E94" s="125"/>
      <c r="F94" s="249" t="s">
        <v>28</v>
      </c>
      <c r="G94" s="228">
        <v>1</v>
      </c>
      <c r="H94" s="402">
        <v>2010</v>
      </c>
      <c r="I94" s="158" t="s">
        <v>20</v>
      </c>
      <c r="J94" s="7">
        <f>210.69+136.23+53.88</f>
        <v>400.79999999999995</v>
      </c>
      <c r="K94" s="7">
        <v>7594.1</v>
      </c>
      <c r="L94" s="468">
        <f t="shared" si="7"/>
        <v>3043715.28</v>
      </c>
      <c r="M94" s="120"/>
      <c r="N94" s="120"/>
      <c r="O94" s="120"/>
      <c r="P94" s="120"/>
      <c r="Q94" s="120"/>
      <c r="R94" s="550"/>
    </row>
    <row r="95" spans="1:18" x14ac:dyDescent="0.25">
      <c r="A95" s="212"/>
      <c r="B95" s="125"/>
      <c r="C95" s="186"/>
      <c r="D95" s="123"/>
      <c r="E95" s="125"/>
      <c r="F95" s="125" t="s">
        <v>29</v>
      </c>
      <c r="G95" s="213">
        <v>1</v>
      </c>
      <c r="H95" s="407">
        <v>2002</v>
      </c>
      <c r="I95" s="147" t="s">
        <v>20</v>
      </c>
      <c r="J95" s="2">
        <f>611.77+144.68</f>
        <v>756.45</v>
      </c>
      <c r="K95" s="2">
        <v>7070.82</v>
      </c>
      <c r="L95" s="467">
        <f t="shared" si="7"/>
        <v>5348721.7889999999</v>
      </c>
      <c r="M95" s="120"/>
      <c r="N95" s="120"/>
      <c r="O95" s="120"/>
      <c r="P95" s="120"/>
      <c r="Q95" s="120"/>
      <c r="R95" s="550"/>
    </row>
    <row r="96" spans="1:18" ht="15.75" thickBot="1" x14ac:dyDescent="0.3">
      <c r="A96" s="212"/>
      <c r="B96" s="125"/>
      <c r="C96" s="186"/>
      <c r="D96" s="123"/>
      <c r="E96" s="125"/>
      <c r="F96" s="125" t="s">
        <v>33</v>
      </c>
      <c r="G96" s="213">
        <v>1</v>
      </c>
      <c r="H96" s="411">
        <v>2010</v>
      </c>
      <c r="I96" s="221" t="s">
        <v>23</v>
      </c>
      <c r="J96" s="18">
        <v>35.700000000000003</v>
      </c>
      <c r="K96" s="18">
        <v>2414.65</v>
      </c>
      <c r="L96" s="467">
        <f t="shared" si="7"/>
        <v>86203.005000000005</v>
      </c>
      <c r="M96" s="130">
        <f>SUM(L90:L96)</f>
        <v>32392453.1756</v>
      </c>
      <c r="N96" s="130">
        <f>M96</f>
        <v>32392453.1756</v>
      </c>
      <c r="O96" s="534">
        <v>10818429.51</v>
      </c>
      <c r="P96" s="130">
        <v>1000000</v>
      </c>
      <c r="Q96" s="130" t="s">
        <v>246</v>
      </c>
      <c r="R96" s="552"/>
    </row>
    <row r="97" spans="1:33" ht="15.75" thickTop="1" x14ac:dyDescent="0.25">
      <c r="A97" s="450">
        <v>19</v>
      </c>
      <c r="B97" s="451" t="s">
        <v>90</v>
      </c>
      <c r="C97" s="459" t="s">
        <v>240</v>
      </c>
      <c r="D97" s="452" t="s">
        <v>99</v>
      </c>
      <c r="E97" s="453" t="s">
        <v>35</v>
      </c>
      <c r="F97" s="454" t="s">
        <v>60</v>
      </c>
      <c r="G97" s="451" t="s">
        <v>100</v>
      </c>
      <c r="H97" s="406">
        <v>2014</v>
      </c>
      <c r="I97" s="455" t="s">
        <v>23</v>
      </c>
      <c r="J97" s="456">
        <v>133.78</v>
      </c>
      <c r="K97" s="457">
        <v>2195.14</v>
      </c>
      <c r="L97" s="471">
        <f t="shared" si="7"/>
        <v>293665.82919999998</v>
      </c>
      <c r="M97" s="458"/>
      <c r="N97" s="458"/>
      <c r="O97" s="532"/>
      <c r="P97" s="458"/>
      <c r="Q97" s="458"/>
      <c r="R97" s="553" t="s">
        <v>193</v>
      </c>
    </row>
    <row r="98" spans="1:33" x14ac:dyDescent="0.25">
      <c r="A98" s="116"/>
      <c r="B98" s="210"/>
      <c r="C98" s="199"/>
      <c r="D98" s="118"/>
      <c r="E98" s="198"/>
      <c r="F98" s="224" t="s">
        <v>60</v>
      </c>
      <c r="G98" s="225" t="s">
        <v>22</v>
      </c>
      <c r="H98" s="402">
        <v>2014</v>
      </c>
      <c r="I98" s="226" t="s">
        <v>23</v>
      </c>
      <c r="J98" s="21">
        <v>133.78</v>
      </c>
      <c r="K98" s="13">
        <v>2195.14</v>
      </c>
      <c r="L98" s="469">
        <f t="shared" si="7"/>
        <v>293665.82919999998</v>
      </c>
      <c r="M98" s="189"/>
      <c r="N98" s="189"/>
      <c r="O98" s="189"/>
      <c r="P98" s="189"/>
      <c r="Q98" s="189"/>
      <c r="R98" s="543"/>
    </row>
    <row r="99" spans="1:33" x14ac:dyDescent="0.25">
      <c r="A99" s="116"/>
      <c r="B99" s="210"/>
      <c r="C99" s="199"/>
      <c r="D99" s="118"/>
      <c r="E99" s="198"/>
      <c r="F99" s="224" t="s">
        <v>60</v>
      </c>
      <c r="G99" s="225" t="s">
        <v>22</v>
      </c>
      <c r="H99" s="402">
        <v>2014</v>
      </c>
      <c r="I99" s="226" t="s">
        <v>23</v>
      </c>
      <c r="J99" s="21">
        <v>133.78</v>
      </c>
      <c r="K99" s="13">
        <v>2195.14</v>
      </c>
      <c r="L99" s="469">
        <f t="shared" si="7"/>
        <v>293665.82919999998</v>
      </c>
      <c r="M99" s="189"/>
      <c r="N99" s="189"/>
      <c r="O99" s="189"/>
      <c r="P99" s="189"/>
      <c r="Q99" s="189"/>
      <c r="R99" s="543"/>
    </row>
    <row r="100" spans="1:33" x14ac:dyDescent="0.25">
      <c r="A100" s="116"/>
      <c r="B100" s="210"/>
      <c r="C100" s="199"/>
      <c r="D100" s="118"/>
      <c r="E100" s="198"/>
      <c r="F100" s="227" t="s">
        <v>60</v>
      </c>
      <c r="G100" s="225" t="s">
        <v>22</v>
      </c>
      <c r="H100" s="402">
        <v>2014</v>
      </c>
      <c r="I100" s="226" t="s">
        <v>23</v>
      </c>
      <c r="J100" s="21">
        <v>133.78</v>
      </c>
      <c r="K100" s="13">
        <v>2195.14</v>
      </c>
      <c r="L100" s="469">
        <f t="shared" si="7"/>
        <v>293665.82919999998</v>
      </c>
      <c r="M100" s="189"/>
      <c r="N100" s="189"/>
      <c r="O100" s="189"/>
      <c r="P100" s="189"/>
      <c r="Q100" s="189"/>
      <c r="R100" s="543"/>
    </row>
    <row r="101" spans="1:33" x14ac:dyDescent="0.25">
      <c r="A101" s="151"/>
      <c r="B101" s="228"/>
      <c r="C101" s="229"/>
      <c r="D101" s="123"/>
      <c r="E101" s="230"/>
      <c r="F101" s="230" t="s">
        <v>21</v>
      </c>
      <c r="G101" s="213">
        <v>1</v>
      </c>
      <c r="H101" s="402">
        <v>2000</v>
      </c>
      <c r="I101" s="89" t="s">
        <v>116</v>
      </c>
      <c r="J101" s="18">
        <v>48</v>
      </c>
      <c r="K101" s="18">
        <v>2195.14</v>
      </c>
      <c r="L101" s="463">
        <f t="shared" si="7"/>
        <v>105366.72</v>
      </c>
      <c r="M101" s="61"/>
      <c r="N101" s="61"/>
      <c r="O101" s="61"/>
      <c r="P101" s="61"/>
      <c r="Q101" s="61"/>
      <c r="R101" s="543"/>
    </row>
    <row r="102" spans="1:33" x14ac:dyDescent="0.25">
      <c r="A102" s="82"/>
      <c r="B102" s="213"/>
      <c r="C102" s="186"/>
      <c r="D102" s="123"/>
      <c r="E102" s="125"/>
      <c r="F102" s="224" t="s">
        <v>171</v>
      </c>
      <c r="G102" s="228">
        <v>1</v>
      </c>
      <c r="H102" s="402">
        <v>2016</v>
      </c>
      <c r="I102" s="198" t="s">
        <v>96</v>
      </c>
      <c r="J102" s="34">
        <v>45.88</v>
      </c>
      <c r="K102" s="20">
        <f>(1975.63*1.3)</f>
        <v>2568.3190000000004</v>
      </c>
      <c r="L102" s="472">
        <f t="shared" si="7"/>
        <v>117834.47572000003</v>
      </c>
      <c r="M102" s="232"/>
      <c r="N102" s="232"/>
      <c r="O102" s="232"/>
      <c r="P102" s="232"/>
      <c r="Q102" s="232"/>
      <c r="R102" s="543"/>
    </row>
    <row r="103" spans="1:33" ht="15.75" thickBot="1" x14ac:dyDescent="0.3">
      <c r="A103" s="91"/>
      <c r="B103" s="215"/>
      <c r="C103" s="174"/>
      <c r="D103" s="128"/>
      <c r="E103" s="241"/>
      <c r="F103" s="192" t="s">
        <v>159</v>
      </c>
      <c r="G103" s="292">
        <v>1</v>
      </c>
      <c r="H103" s="460">
        <v>2019</v>
      </c>
      <c r="I103" s="254" t="s">
        <v>18</v>
      </c>
      <c r="J103" s="31">
        <v>51.84</v>
      </c>
      <c r="K103" s="14">
        <v>8345.6299999999992</v>
      </c>
      <c r="L103" s="470">
        <f t="shared" si="7"/>
        <v>432637.45919999998</v>
      </c>
      <c r="M103" s="130">
        <f>SUM(L97:L103)</f>
        <v>1830501.9717199998</v>
      </c>
      <c r="N103" s="130">
        <f>M103</f>
        <v>1830501.9717199998</v>
      </c>
      <c r="O103" s="534">
        <v>1205587.8899999999</v>
      </c>
      <c r="P103" s="130">
        <v>500000</v>
      </c>
      <c r="Q103" s="130" t="s">
        <v>246</v>
      </c>
      <c r="R103" s="545"/>
    </row>
    <row r="104" spans="1:33" s="237" customFormat="1" ht="15.75" thickTop="1" x14ac:dyDescent="0.25">
      <c r="A104" s="109">
        <v>20</v>
      </c>
      <c r="B104" s="113" t="s">
        <v>90</v>
      </c>
      <c r="C104" s="233" t="s">
        <v>101</v>
      </c>
      <c r="D104" s="234" t="s">
        <v>102</v>
      </c>
      <c r="E104" s="235" t="s">
        <v>26</v>
      </c>
      <c r="F104" s="235" t="s">
        <v>164</v>
      </c>
      <c r="G104" s="113">
        <v>3</v>
      </c>
      <c r="H104" s="393">
        <v>2004</v>
      </c>
      <c r="I104" s="114" t="s">
        <v>20</v>
      </c>
      <c r="J104" s="6">
        <f>335.54*3</f>
        <v>1006.6200000000001</v>
      </c>
      <c r="K104" s="6">
        <v>6490.5</v>
      </c>
      <c r="L104" s="473">
        <f t="shared" si="7"/>
        <v>6533467.1100000003</v>
      </c>
      <c r="M104" s="115"/>
      <c r="N104" s="115"/>
      <c r="O104" s="115"/>
      <c r="P104" s="115"/>
      <c r="Q104" s="115"/>
      <c r="R104" s="543" t="s">
        <v>194</v>
      </c>
      <c r="S104" s="236"/>
      <c r="T104" s="236"/>
      <c r="U104" s="236"/>
      <c r="V104" s="236"/>
      <c r="W104" s="236"/>
      <c r="X104" s="236"/>
      <c r="Y104" s="236"/>
      <c r="Z104" s="236"/>
      <c r="AA104" s="236"/>
      <c r="AB104" s="236"/>
      <c r="AC104" s="236"/>
      <c r="AD104" s="236"/>
      <c r="AE104" s="236"/>
      <c r="AF104" s="236"/>
      <c r="AG104" s="236"/>
    </row>
    <row r="105" spans="1:33" x14ac:dyDescent="0.25">
      <c r="A105" s="209"/>
      <c r="B105" s="210"/>
      <c r="C105" s="199"/>
      <c r="D105" s="118"/>
      <c r="E105" s="198"/>
      <c r="F105" s="198" t="s">
        <v>57</v>
      </c>
      <c r="G105" s="210">
        <v>3</v>
      </c>
      <c r="H105" s="407">
        <v>2004</v>
      </c>
      <c r="I105" s="147" t="s">
        <v>20</v>
      </c>
      <c r="J105" s="2">
        <f>335.73*3</f>
        <v>1007.19</v>
      </c>
      <c r="K105" s="2">
        <v>6490.5</v>
      </c>
      <c r="L105" s="467">
        <f t="shared" si="7"/>
        <v>6537166.6950000003</v>
      </c>
      <c r="M105" s="120"/>
      <c r="N105" s="120"/>
      <c r="O105" s="120"/>
      <c r="P105" s="120"/>
      <c r="Q105" s="120"/>
      <c r="R105" s="543"/>
    </row>
    <row r="106" spans="1:33" x14ac:dyDescent="0.25">
      <c r="A106" s="209"/>
      <c r="B106" s="210"/>
      <c r="C106" s="199"/>
      <c r="D106" s="118"/>
      <c r="E106" s="198"/>
      <c r="F106" s="198" t="s">
        <v>58</v>
      </c>
      <c r="G106" s="213">
        <v>3</v>
      </c>
      <c r="H106" s="407">
        <v>2004</v>
      </c>
      <c r="I106" s="147" t="s">
        <v>20</v>
      </c>
      <c r="J106" s="2">
        <f>252.3*3</f>
        <v>756.90000000000009</v>
      </c>
      <c r="K106" s="2">
        <v>7031.38</v>
      </c>
      <c r="L106" s="467">
        <f t="shared" si="7"/>
        <v>5322051.5220000008</v>
      </c>
      <c r="M106" s="120"/>
      <c r="N106" s="120"/>
      <c r="O106" s="120"/>
      <c r="P106" s="120"/>
      <c r="Q106" s="120"/>
      <c r="R106" s="543"/>
    </row>
    <row r="107" spans="1:33" x14ac:dyDescent="0.25">
      <c r="A107" s="209"/>
      <c r="B107" s="210"/>
      <c r="C107" s="199"/>
      <c r="D107" s="118"/>
      <c r="E107" s="198"/>
      <c r="F107" s="198" t="s">
        <v>103</v>
      </c>
      <c r="G107" s="210">
        <v>1</v>
      </c>
      <c r="H107" s="407">
        <v>2002</v>
      </c>
      <c r="I107" s="147" t="s">
        <v>18</v>
      </c>
      <c r="J107" s="16">
        <v>100.34</v>
      </c>
      <c r="K107" s="16">
        <v>5949.63</v>
      </c>
      <c r="L107" s="467">
        <f t="shared" si="7"/>
        <v>596985.87420000008</v>
      </c>
      <c r="M107" s="120"/>
      <c r="N107" s="120"/>
      <c r="O107" s="120"/>
      <c r="P107" s="120"/>
      <c r="Q107" s="120"/>
      <c r="R107" s="543"/>
    </row>
    <row r="108" spans="1:33" x14ac:dyDescent="0.25">
      <c r="A108" s="212"/>
      <c r="B108" s="213"/>
      <c r="C108" s="186"/>
      <c r="D108" s="123"/>
      <c r="E108" s="125"/>
      <c r="F108" s="125" t="s">
        <v>104</v>
      </c>
      <c r="G108" s="213">
        <v>1</v>
      </c>
      <c r="H108" s="407">
        <v>2002</v>
      </c>
      <c r="I108" s="147" t="s">
        <v>18</v>
      </c>
      <c r="J108" s="16">
        <v>152.72999999999999</v>
      </c>
      <c r="K108" s="16">
        <v>5949.63</v>
      </c>
      <c r="L108" s="467">
        <f t="shared" si="7"/>
        <v>908686.98989999993</v>
      </c>
      <c r="M108" s="120"/>
      <c r="N108" s="120"/>
      <c r="O108" s="120"/>
      <c r="P108" s="120"/>
      <c r="Q108" s="120"/>
      <c r="R108" s="543"/>
    </row>
    <row r="109" spans="1:33" x14ac:dyDescent="0.25">
      <c r="A109" s="212"/>
      <c r="B109" s="213"/>
      <c r="C109" s="186"/>
      <c r="D109" s="123"/>
      <c r="E109" s="125"/>
      <c r="F109" s="125" t="s">
        <v>104</v>
      </c>
      <c r="G109" s="213">
        <v>1</v>
      </c>
      <c r="H109" s="407">
        <v>2002</v>
      </c>
      <c r="I109" s="147" t="s">
        <v>18</v>
      </c>
      <c r="J109" s="16">
        <v>152.72999999999999</v>
      </c>
      <c r="K109" s="16">
        <v>5949.63</v>
      </c>
      <c r="L109" s="467">
        <f t="shared" si="7"/>
        <v>908686.98989999993</v>
      </c>
      <c r="M109" s="120"/>
      <c r="N109" s="120"/>
      <c r="O109" s="120"/>
      <c r="P109" s="120"/>
      <c r="Q109" s="120"/>
      <c r="R109" s="543"/>
    </row>
    <row r="110" spans="1:33" x14ac:dyDescent="0.25">
      <c r="A110" s="212"/>
      <c r="B110" s="213"/>
      <c r="C110" s="186"/>
      <c r="D110" s="123"/>
      <c r="E110" s="125"/>
      <c r="F110" s="125" t="s">
        <v>28</v>
      </c>
      <c r="G110" s="213">
        <v>1</v>
      </c>
      <c r="H110" s="407">
        <v>2018</v>
      </c>
      <c r="I110" s="147" t="s">
        <v>18</v>
      </c>
      <c r="J110" s="16">
        <v>112.04</v>
      </c>
      <c r="K110" s="13">
        <v>8345.6299999999992</v>
      </c>
      <c r="L110" s="467">
        <f t="shared" ref="L110" si="8">J110*K110</f>
        <v>935044.38520000002</v>
      </c>
      <c r="M110" s="120"/>
      <c r="N110" s="120"/>
      <c r="O110" s="120"/>
      <c r="P110" s="120"/>
      <c r="Q110" s="120"/>
      <c r="R110" s="543"/>
    </row>
    <row r="111" spans="1:33" ht="15.75" thickBot="1" x14ac:dyDescent="0.3">
      <c r="A111" s="203"/>
      <c r="B111" s="215"/>
      <c r="C111" s="174"/>
      <c r="D111" s="128"/>
      <c r="E111" s="173"/>
      <c r="F111" s="173" t="s">
        <v>29</v>
      </c>
      <c r="G111" s="215">
        <v>1</v>
      </c>
      <c r="H111" s="411">
        <v>2005</v>
      </c>
      <c r="I111" s="98" t="s">
        <v>20</v>
      </c>
      <c r="J111" s="4">
        <v>611.77</v>
      </c>
      <c r="K111" s="4">
        <v>7070.82</v>
      </c>
      <c r="L111" s="464">
        <f t="shared" si="7"/>
        <v>4325715.5513999993</v>
      </c>
      <c r="M111" s="130">
        <f>SUM(L104:L111)</f>
        <v>26067805.117600001</v>
      </c>
      <c r="N111" s="506">
        <f>M111</f>
        <v>26067805.117600001</v>
      </c>
      <c r="O111" s="534">
        <v>5755368.8099999996</v>
      </c>
      <c r="P111" s="507">
        <v>1000000</v>
      </c>
      <c r="Q111" s="508" t="s">
        <v>246</v>
      </c>
      <c r="R111" s="545"/>
    </row>
    <row r="112" spans="1:33" s="237" customFormat="1" ht="15.75" thickTop="1" x14ac:dyDescent="0.25">
      <c r="A112" s="109">
        <v>21</v>
      </c>
      <c r="B112" s="113" t="s">
        <v>90</v>
      </c>
      <c r="C112" s="233" t="s">
        <v>105</v>
      </c>
      <c r="D112" s="234" t="s">
        <v>106</v>
      </c>
      <c r="E112" s="235" t="s">
        <v>26</v>
      </c>
      <c r="F112" s="112" t="s">
        <v>164</v>
      </c>
      <c r="G112" s="113">
        <v>3</v>
      </c>
      <c r="H112" s="393">
        <v>2006</v>
      </c>
      <c r="I112" s="114" t="s">
        <v>20</v>
      </c>
      <c r="J112" s="6">
        <f>335.54*3</f>
        <v>1006.6200000000001</v>
      </c>
      <c r="K112" s="6">
        <v>6490.5</v>
      </c>
      <c r="L112" s="466">
        <f t="shared" si="7"/>
        <v>6533467.1100000003</v>
      </c>
      <c r="M112" s="115"/>
      <c r="N112" s="115"/>
      <c r="O112" s="115"/>
      <c r="P112" s="115"/>
      <c r="Q112" s="115"/>
      <c r="R112" s="542" t="s">
        <v>195</v>
      </c>
      <c r="S112" s="236"/>
      <c r="T112" s="236"/>
      <c r="U112" s="236"/>
      <c r="V112" s="236"/>
      <c r="W112" s="236"/>
      <c r="X112" s="236"/>
      <c r="Y112" s="236"/>
      <c r="Z112" s="236"/>
      <c r="AA112" s="236"/>
      <c r="AB112" s="236"/>
      <c r="AC112" s="236"/>
      <c r="AD112" s="236"/>
      <c r="AE112" s="236"/>
      <c r="AF112" s="236"/>
      <c r="AG112" s="236"/>
    </row>
    <row r="113" spans="1:37" x14ac:dyDescent="0.25">
      <c r="A113" s="116"/>
      <c r="B113" s="210"/>
      <c r="C113" s="199"/>
      <c r="D113" s="118"/>
      <c r="E113" s="198"/>
      <c r="F113" s="78" t="s">
        <v>57</v>
      </c>
      <c r="G113" s="119">
        <v>3</v>
      </c>
      <c r="H113" s="390">
        <v>2005</v>
      </c>
      <c r="I113" s="80" t="s">
        <v>20</v>
      </c>
      <c r="J113" s="2">
        <f>335.73*3</f>
        <v>1007.19</v>
      </c>
      <c r="K113" s="2">
        <v>6490.5</v>
      </c>
      <c r="L113" s="467">
        <f t="shared" si="7"/>
        <v>6537166.6950000003</v>
      </c>
      <c r="M113" s="120"/>
      <c r="N113" s="120"/>
      <c r="O113" s="120"/>
      <c r="P113" s="120"/>
      <c r="Q113" s="120"/>
      <c r="R113" s="543"/>
    </row>
    <row r="114" spans="1:37" x14ac:dyDescent="0.25">
      <c r="A114" s="116"/>
      <c r="B114" s="210"/>
      <c r="C114" s="199"/>
      <c r="D114" s="118"/>
      <c r="E114" s="198"/>
      <c r="F114" s="78" t="s">
        <v>58</v>
      </c>
      <c r="G114" s="119">
        <v>3</v>
      </c>
      <c r="H114" s="390">
        <v>2006</v>
      </c>
      <c r="I114" s="80" t="s">
        <v>20</v>
      </c>
      <c r="J114" s="2">
        <f>252.3*3</f>
        <v>756.90000000000009</v>
      </c>
      <c r="K114" s="2">
        <v>7031.38</v>
      </c>
      <c r="L114" s="467">
        <f t="shared" si="7"/>
        <v>5322051.5220000008</v>
      </c>
      <c r="M114" s="120"/>
      <c r="N114" s="120"/>
      <c r="O114" s="120"/>
      <c r="P114" s="120"/>
      <c r="Q114" s="120"/>
      <c r="R114" s="543"/>
    </row>
    <row r="115" spans="1:37" x14ac:dyDescent="0.25">
      <c r="A115" s="116"/>
      <c r="B115" s="210"/>
      <c r="C115" s="199"/>
      <c r="D115" s="118"/>
      <c r="E115" s="198"/>
      <c r="F115" s="238" t="s">
        <v>172</v>
      </c>
      <c r="G115" s="136">
        <v>3</v>
      </c>
      <c r="H115" s="408">
        <v>2015</v>
      </c>
      <c r="I115" s="80" t="s">
        <v>20</v>
      </c>
      <c r="J115" s="2">
        <f>335.73*3</f>
        <v>1007.19</v>
      </c>
      <c r="K115" s="2">
        <v>6490.5</v>
      </c>
      <c r="L115" s="462">
        <f t="shared" si="7"/>
        <v>6537166.6950000003</v>
      </c>
      <c r="M115" s="120"/>
      <c r="N115" s="120"/>
      <c r="O115" s="120"/>
      <c r="P115" s="120"/>
      <c r="Q115" s="120"/>
      <c r="R115" s="543"/>
    </row>
    <row r="116" spans="1:37" x14ac:dyDescent="0.25">
      <c r="A116" s="209"/>
      <c r="B116" s="210"/>
      <c r="C116" s="199"/>
      <c r="D116" s="118"/>
      <c r="E116" s="198"/>
      <c r="F116" s="198" t="s">
        <v>28</v>
      </c>
      <c r="G116" s="210">
        <v>1</v>
      </c>
      <c r="H116" s="409">
        <v>2006</v>
      </c>
      <c r="I116" s="147" t="s">
        <v>20</v>
      </c>
      <c r="J116" s="2">
        <v>210.69</v>
      </c>
      <c r="K116" s="2">
        <v>7594.1</v>
      </c>
      <c r="L116" s="467">
        <f t="shared" si="7"/>
        <v>1600000.929</v>
      </c>
      <c r="M116" s="120"/>
      <c r="N116" s="120"/>
      <c r="O116" s="120"/>
      <c r="P116" s="120"/>
      <c r="Q116" s="120"/>
      <c r="R116" s="543"/>
    </row>
    <row r="117" spans="1:37" x14ac:dyDescent="0.25">
      <c r="A117" s="212"/>
      <c r="B117" s="213"/>
      <c r="C117" s="186"/>
      <c r="D117" s="123"/>
      <c r="E117" s="125"/>
      <c r="F117" s="125" t="s">
        <v>29</v>
      </c>
      <c r="G117" s="213">
        <v>1</v>
      </c>
      <c r="H117" s="410">
        <v>2006</v>
      </c>
      <c r="I117" s="147" t="s">
        <v>20</v>
      </c>
      <c r="J117" s="2">
        <v>611.77</v>
      </c>
      <c r="K117" s="2">
        <v>7070.82</v>
      </c>
      <c r="L117" s="467">
        <f t="shared" si="7"/>
        <v>4325715.5513999993</v>
      </c>
      <c r="M117" s="120"/>
      <c r="N117" s="120"/>
      <c r="O117" s="120"/>
      <c r="P117" s="120"/>
      <c r="Q117" s="120"/>
      <c r="R117" s="543"/>
    </row>
    <row r="118" spans="1:37" ht="15.75" thickBot="1" x14ac:dyDescent="0.3">
      <c r="A118" s="203"/>
      <c r="B118" s="215"/>
      <c r="C118" s="174"/>
      <c r="D118" s="128"/>
      <c r="E118" s="173"/>
      <c r="F118" s="173" t="s">
        <v>33</v>
      </c>
      <c r="G118" s="215">
        <v>1</v>
      </c>
      <c r="H118" s="411">
        <v>2010</v>
      </c>
      <c r="I118" s="98" t="s">
        <v>20</v>
      </c>
      <c r="J118" s="12">
        <v>57.59</v>
      </c>
      <c r="K118" s="12">
        <v>5408.75</v>
      </c>
      <c r="L118" s="464">
        <f t="shared" si="7"/>
        <v>311489.91250000003</v>
      </c>
      <c r="M118" s="130">
        <f>SUM(L112:L118)</f>
        <v>31167058.414900001</v>
      </c>
      <c r="N118" s="506">
        <f>M118</f>
        <v>31167058.414900001</v>
      </c>
      <c r="O118" s="534">
        <v>8386674.1600000001</v>
      </c>
      <c r="P118" s="507">
        <v>1000000</v>
      </c>
      <c r="Q118" s="508" t="s">
        <v>246</v>
      </c>
      <c r="R118" s="545"/>
    </row>
    <row r="119" spans="1:37" ht="15.75" thickTop="1" x14ac:dyDescent="0.25">
      <c r="A119" s="109">
        <v>22</v>
      </c>
      <c r="B119" s="113" t="s">
        <v>90</v>
      </c>
      <c r="C119" s="449" t="s">
        <v>239</v>
      </c>
      <c r="D119" s="234" t="s">
        <v>107</v>
      </c>
      <c r="E119" s="235" t="s">
        <v>35</v>
      </c>
      <c r="F119" s="446" t="s">
        <v>173</v>
      </c>
      <c r="G119" s="113">
        <v>2</v>
      </c>
      <c r="H119" s="412" t="s">
        <v>236</v>
      </c>
      <c r="I119" s="114" t="s">
        <v>18</v>
      </c>
      <c r="J119" s="1">
        <v>316.87</v>
      </c>
      <c r="K119" s="447">
        <v>8345.6299999999992</v>
      </c>
      <c r="L119" s="466">
        <f t="shared" ref="L119" si="9">J119*K119</f>
        <v>2644479.7780999998</v>
      </c>
      <c r="M119" s="448"/>
      <c r="N119" s="448"/>
      <c r="O119" s="448"/>
      <c r="P119" s="448"/>
      <c r="Q119" s="448"/>
      <c r="R119" s="542" t="s">
        <v>196</v>
      </c>
    </row>
    <row r="120" spans="1:37" x14ac:dyDescent="0.25">
      <c r="A120" s="209"/>
      <c r="B120" s="210"/>
      <c r="C120" s="199"/>
      <c r="D120" s="118"/>
      <c r="E120" s="198"/>
      <c r="F120" s="240" t="s">
        <v>21</v>
      </c>
      <c r="G120" s="200" t="s">
        <v>22</v>
      </c>
      <c r="H120" s="404">
        <v>2012</v>
      </c>
      <c r="I120" s="80" t="s">
        <v>23</v>
      </c>
      <c r="J120" s="16">
        <v>133.78</v>
      </c>
      <c r="K120" s="16">
        <v>2195.14</v>
      </c>
      <c r="L120" s="467">
        <f t="shared" si="7"/>
        <v>293665.82919999998</v>
      </c>
      <c r="M120" s="81"/>
      <c r="N120" s="81"/>
      <c r="O120" s="81"/>
      <c r="P120" s="81"/>
      <c r="Q120" s="81"/>
      <c r="R120" s="543"/>
    </row>
    <row r="121" spans="1:37" ht="15.75" thickBot="1" x14ac:dyDescent="0.3">
      <c r="A121" s="203"/>
      <c r="B121" s="215"/>
      <c r="C121" s="174"/>
      <c r="D121" s="128"/>
      <c r="E121" s="173"/>
      <c r="F121" s="241" t="s">
        <v>21</v>
      </c>
      <c r="G121" s="176" t="s">
        <v>22</v>
      </c>
      <c r="H121" s="413">
        <v>2012</v>
      </c>
      <c r="I121" s="98" t="s">
        <v>23</v>
      </c>
      <c r="J121" s="12">
        <v>133.78</v>
      </c>
      <c r="K121" s="12">
        <v>2195.14</v>
      </c>
      <c r="L121" s="464">
        <f t="shared" si="7"/>
        <v>293665.82919999998</v>
      </c>
      <c r="M121" s="130">
        <f>SUM(L119:L121)</f>
        <v>3231811.4364999998</v>
      </c>
      <c r="N121" s="130">
        <f>M121</f>
        <v>3231811.4364999998</v>
      </c>
      <c r="O121" s="534">
        <v>893549.14</v>
      </c>
      <c r="P121" s="130">
        <v>500000</v>
      </c>
      <c r="Q121" s="130" t="s">
        <v>246</v>
      </c>
      <c r="R121" s="545"/>
    </row>
    <row r="122" spans="1:37" s="237" customFormat="1" ht="15.75" thickTop="1" x14ac:dyDescent="0.25">
      <c r="A122" s="109">
        <v>23</v>
      </c>
      <c r="B122" s="113" t="s">
        <v>90</v>
      </c>
      <c r="C122" s="233" t="s">
        <v>226</v>
      </c>
      <c r="D122" s="242" t="s">
        <v>227</v>
      </c>
      <c r="E122" s="235" t="s">
        <v>26</v>
      </c>
      <c r="F122" s="112" t="s">
        <v>164</v>
      </c>
      <c r="G122" s="113">
        <v>3</v>
      </c>
      <c r="H122" s="113">
        <v>2015</v>
      </c>
      <c r="I122" s="114" t="s">
        <v>20</v>
      </c>
      <c r="J122" s="6">
        <f>335.54*3</f>
        <v>1006.6200000000001</v>
      </c>
      <c r="K122" s="6">
        <v>6490.5</v>
      </c>
      <c r="L122" s="466">
        <f t="shared" si="7"/>
        <v>6533467.1100000003</v>
      </c>
      <c r="M122" s="115"/>
      <c r="N122" s="115"/>
      <c r="O122" s="115"/>
      <c r="P122" s="115"/>
      <c r="Q122" s="115"/>
      <c r="R122" s="543" t="s">
        <v>230</v>
      </c>
      <c r="S122" s="236"/>
      <c r="T122" s="236"/>
      <c r="U122" s="236"/>
      <c r="V122" s="236"/>
      <c r="W122" s="236"/>
      <c r="X122" s="236"/>
      <c r="Y122" s="236"/>
      <c r="Z122" s="236"/>
      <c r="AA122" s="236"/>
      <c r="AB122" s="236"/>
      <c r="AC122" s="236"/>
      <c r="AD122" s="236"/>
      <c r="AE122" s="236"/>
      <c r="AF122" s="236"/>
      <c r="AG122" s="236"/>
      <c r="AH122" s="236"/>
      <c r="AI122" s="236"/>
      <c r="AJ122" s="236"/>
      <c r="AK122" s="236"/>
    </row>
    <row r="123" spans="1:37" x14ac:dyDescent="0.25">
      <c r="A123" s="243"/>
      <c r="B123" s="244"/>
      <c r="C123" s="153"/>
      <c r="D123" s="245"/>
      <c r="E123" s="169"/>
      <c r="F123" s="86" t="s">
        <v>57</v>
      </c>
      <c r="G123" s="88">
        <v>3</v>
      </c>
      <c r="H123" s="88">
        <v>2015</v>
      </c>
      <c r="I123" s="89" t="s">
        <v>20</v>
      </c>
      <c r="J123" s="3">
        <f>335.73*3</f>
        <v>1007.19</v>
      </c>
      <c r="K123" s="3">
        <v>6490.5</v>
      </c>
      <c r="L123" s="469">
        <f t="shared" si="7"/>
        <v>6537166.6950000003</v>
      </c>
      <c r="M123" s="189"/>
      <c r="N123" s="189"/>
      <c r="O123" s="189"/>
      <c r="P123" s="189"/>
      <c r="Q123" s="189"/>
      <c r="R123" s="543"/>
      <c r="AH123" s="72"/>
      <c r="AI123" s="72"/>
      <c r="AJ123" s="72"/>
      <c r="AK123" s="72"/>
    </row>
    <row r="124" spans="1:37" x14ac:dyDescent="0.25">
      <c r="A124" s="116"/>
      <c r="B124" s="210"/>
      <c r="C124" s="199"/>
      <c r="D124" s="118"/>
      <c r="E124" s="198"/>
      <c r="F124" s="78" t="s">
        <v>58</v>
      </c>
      <c r="G124" s="119">
        <v>3</v>
      </c>
      <c r="H124" s="119">
        <v>2015</v>
      </c>
      <c r="I124" s="80" t="s">
        <v>20</v>
      </c>
      <c r="J124" s="2">
        <f>252.3*3</f>
        <v>756.90000000000009</v>
      </c>
      <c r="K124" s="2">
        <v>7031.38</v>
      </c>
      <c r="L124" s="467">
        <f t="shared" si="7"/>
        <v>5322051.5220000008</v>
      </c>
      <c r="M124" s="120"/>
      <c r="N124" s="120"/>
      <c r="O124" s="120"/>
      <c r="P124" s="120"/>
      <c r="Q124" s="120"/>
      <c r="R124" s="543"/>
      <c r="AH124" s="72"/>
      <c r="AI124" s="72"/>
      <c r="AJ124" s="72"/>
      <c r="AK124" s="72"/>
    </row>
    <row r="125" spans="1:37" x14ac:dyDescent="0.25">
      <c r="A125" s="246"/>
      <c r="B125" s="225"/>
      <c r="C125" s="247"/>
      <c r="D125" s="248"/>
      <c r="E125" s="249"/>
      <c r="F125" s="135" t="s">
        <v>228</v>
      </c>
      <c r="G125" s="119">
        <v>1</v>
      </c>
      <c r="H125" s="119">
        <v>2018</v>
      </c>
      <c r="I125" s="80" t="s">
        <v>20</v>
      </c>
      <c r="J125" s="2">
        <v>161.72</v>
      </c>
      <c r="K125" s="2">
        <v>5250</v>
      </c>
      <c r="L125" s="467">
        <f t="shared" si="7"/>
        <v>849030</v>
      </c>
      <c r="M125" s="189"/>
      <c r="N125" s="189"/>
      <c r="O125" s="189"/>
      <c r="P125" s="189"/>
      <c r="Q125" s="189"/>
      <c r="R125" s="543"/>
      <c r="AH125" s="72"/>
      <c r="AI125" s="72"/>
      <c r="AJ125" s="72"/>
      <c r="AK125" s="72"/>
    </row>
    <row r="126" spans="1:37" x14ac:dyDescent="0.25">
      <c r="A126" s="209"/>
      <c r="B126" s="210"/>
      <c r="C126" s="199"/>
      <c r="D126" s="118"/>
      <c r="E126" s="198"/>
      <c r="F126" s="198" t="s">
        <v>238</v>
      </c>
      <c r="G126" s="213">
        <v>1</v>
      </c>
      <c r="H126" s="410">
        <v>2018</v>
      </c>
      <c r="I126" s="147" t="s">
        <v>20</v>
      </c>
      <c r="J126" s="2">
        <v>144</v>
      </c>
      <c r="K126" s="2">
        <v>7070.82</v>
      </c>
      <c r="L126" s="467">
        <f t="shared" ref="L126" si="10">J126*K126</f>
        <v>1018198.08</v>
      </c>
      <c r="M126" s="120"/>
      <c r="N126" s="120"/>
      <c r="O126" s="120"/>
      <c r="P126" s="120"/>
      <c r="Q126" s="120"/>
      <c r="R126" s="543"/>
    </row>
    <row r="127" spans="1:37" ht="15.75" thickBot="1" x14ac:dyDescent="0.3">
      <c r="A127" s="250"/>
      <c r="B127" s="251"/>
      <c r="C127" s="252"/>
      <c r="D127" s="253"/>
      <c r="E127" s="254"/>
      <c r="F127" s="445" t="s">
        <v>229</v>
      </c>
      <c r="G127" s="97">
        <v>1</v>
      </c>
      <c r="H127" s="97">
        <v>2016</v>
      </c>
      <c r="I127" s="98" t="s">
        <v>20</v>
      </c>
      <c r="J127" s="4">
        <f>25.2*8.1</f>
        <v>204.11999999999998</v>
      </c>
      <c r="K127" s="4">
        <v>7594.1</v>
      </c>
      <c r="L127" s="474">
        <f t="shared" si="7"/>
        <v>1550107.6919999998</v>
      </c>
      <c r="M127" s="130">
        <f>SUM(L122:L127)</f>
        <v>21810021.098999999</v>
      </c>
      <c r="N127" s="130">
        <f>M127</f>
        <v>21810021.098999999</v>
      </c>
      <c r="O127" s="534">
        <v>2659344.5299999998</v>
      </c>
      <c r="P127" s="130">
        <v>1000000</v>
      </c>
      <c r="Q127" s="130" t="s">
        <v>246</v>
      </c>
      <c r="R127" s="545"/>
      <c r="AH127" s="72"/>
      <c r="AI127" s="72"/>
      <c r="AJ127" s="72"/>
      <c r="AK127" s="72"/>
    </row>
    <row r="128" spans="1:37" s="237" customFormat="1" ht="15.75" customHeight="1" thickTop="1" x14ac:dyDescent="0.25">
      <c r="A128" s="109">
        <v>24</v>
      </c>
      <c r="B128" s="113" t="s">
        <v>90</v>
      </c>
      <c r="C128" s="233" t="s">
        <v>109</v>
      </c>
      <c r="D128" s="234" t="s">
        <v>110</v>
      </c>
      <c r="E128" s="235" t="s">
        <v>26</v>
      </c>
      <c r="F128" s="112" t="s">
        <v>164</v>
      </c>
      <c r="G128" s="113">
        <v>3</v>
      </c>
      <c r="H128" s="393">
        <v>2011</v>
      </c>
      <c r="I128" s="114" t="s">
        <v>20</v>
      </c>
      <c r="J128" s="6">
        <f>335.54*3</f>
        <v>1006.6200000000001</v>
      </c>
      <c r="K128" s="6">
        <v>6490.5</v>
      </c>
      <c r="L128" s="466">
        <f t="shared" si="7"/>
        <v>6533467.1100000003</v>
      </c>
      <c r="M128" s="115"/>
      <c r="N128" s="115"/>
      <c r="O128" s="115"/>
      <c r="P128" s="115"/>
      <c r="Q128" s="115"/>
      <c r="R128" s="543" t="s">
        <v>197</v>
      </c>
      <c r="S128" s="236"/>
      <c r="T128" s="236"/>
      <c r="U128" s="236"/>
      <c r="V128" s="236"/>
      <c r="W128" s="236"/>
      <c r="X128" s="236"/>
      <c r="Y128" s="236"/>
      <c r="Z128" s="236"/>
      <c r="AA128" s="236"/>
      <c r="AB128" s="236"/>
      <c r="AC128" s="236"/>
      <c r="AD128" s="236"/>
      <c r="AE128" s="236"/>
      <c r="AF128" s="236"/>
      <c r="AG128" s="236"/>
    </row>
    <row r="129" spans="1:33" x14ac:dyDescent="0.25">
      <c r="A129" s="209"/>
      <c r="B129" s="210"/>
      <c r="C129" s="199"/>
      <c r="D129" s="118"/>
      <c r="E129" s="198"/>
      <c r="F129" s="78" t="s">
        <v>57</v>
      </c>
      <c r="G129" s="119">
        <v>3</v>
      </c>
      <c r="H129" s="390">
        <v>2009</v>
      </c>
      <c r="I129" s="80" t="s">
        <v>20</v>
      </c>
      <c r="J129" s="2">
        <f>335.73*3</f>
        <v>1007.19</v>
      </c>
      <c r="K129" s="2">
        <v>7031.38</v>
      </c>
      <c r="L129" s="467">
        <f t="shared" si="7"/>
        <v>7081935.6222000001</v>
      </c>
      <c r="M129" s="120"/>
      <c r="N129" s="120"/>
      <c r="O129" s="120"/>
      <c r="P129" s="120"/>
      <c r="Q129" s="120"/>
      <c r="R129" s="543"/>
    </row>
    <row r="130" spans="1:33" x14ac:dyDescent="0.25">
      <c r="A130" s="209"/>
      <c r="B130" s="210"/>
      <c r="C130" s="199"/>
      <c r="D130" s="118"/>
      <c r="E130" s="198"/>
      <c r="F130" s="198" t="s">
        <v>28</v>
      </c>
      <c r="G130" s="210">
        <v>1</v>
      </c>
      <c r="H130" s="409">
        <v>2012</v>
      </c>
      <c r="I130" s="147" t="s">
        <v>20</v>
      </c>
      <c r="J130" s="2">
        <v>210.69</v>
      </c>
      <c r="K130" s="2">
        <v>7594.1</v>
      </c>
      <c r="L130" s="467">
        <f t="shared" si="7"/>
        <v>1600000.929</v>
      </c>
      <c r="M130" s="120"/>
      <c r="N130" s="120"/>
      <c r="O130" s="120"/>
      <c r="P130" s="120"/>
      <c r="Q130" s="120"/>
      <c r="R130" s="543"/>
    </row>
    <row r="131" spans="1:33" x14ac:dyDescent="0.25">
      <c r="A131" s="209"/>
      <c r="B131" s="210"/>
      <c r="C131" s="199"/>
      <c r="D131" s="118"/>
      <c r="E131" s="198"/>
      <c r="F131" s="198" t="s">
        <v>82</v>
      </c>
      <c r="G131" s="210">
        <v>1</v>
      </c>
      <c r="H131" s="414">
        <v>2008</v>
      </c>
      <c r="I131" s="125" t="s">
        <v>32</v>
      </c>
      <c r="J131" s="16">
        <v>200</v>
      </c>
      <c r="K131" s="16">
        <v>5949.63</v>
      </c>
      <c r="L131" s="467">
        <f t="shared" si="7"/>
        <v>1189926</v>
      </c>
      <c r="M131" s="120"/>
      <c r="N131" s="120"/>
      <c r="O131" s="120"/>
      <c r="P131" s="120"/>
      <c r="Q131" s="120"/>
      <c r="R131" s="543"/>
    </row>
    <row r="132" spans="1:33" ht="15.75" thickBot="1" x14ac:dyDescent="0.3">
      <c r="A132" s="203"/>
      <c r="B132" s="215"/>
      <c r="C132" s="174"/>
      <c r="D132" s="128"/>
      <c r="E132" s="173"/>
      <c r="F132" s="173" t="s">
        <v>21</v>
      </c>
      <c r="G132" s="215" t="s">
        <v>111</v>
      </c>
      <c r="H132" s="411">
        <v>2009</v>
      </c>
      <c r="I132" s="98" t="s">
        <v>23</v>
      </c>
      <c r="J132" s="12">
        <v>79.319999999999993</v>
      </c>
      <c r="K132" s="12">
        <v>2195.14</v>
      </c>
      <c r="L132" s="464">
        <f t="shared" si="7"/>
        <v>174118.50479999997</v>
      </c>
      <c r="M132" s="130">
        <f>SUM(L128:L132)</f>
        <v>16579448.165999999</v>
      </c>
      <c r="N132" s="509">
        <f>M132</f>
        <v>16579448.165999999</v>
      </c>
      <c r="O132" s="534">
        <v>2689750.2</v>
      </c>
      <c r="P132" s="510">
        <v>1000000</v>
      </c>
      <c r="Q132" s="511" t="s">
        <v>246</v>
      </c>
      <c r="R132" s="545"/>
    </row>
    <row r="133" spans="1:33" ht="16.5" thickTop="1" thickBot="1" x14ac:dyDescent="0.3">
      <c r="A133" s="250">
        <v>25</v>
      </c>
      <c r="B133" s="251" t="s">
        <v>90</v>
      </c>
      <c r="C133" s="255"/>
      <c r="D133" s="256" t="s">
        <v>162</v>
      </c>
      <c r="E133" s="254" t="s">
        <v>35</v>
      </c>
      <c r="F133" s="257" t="s">
        <v>108</v>
      </c>
      <c r="G133" s="258">
        <v>1</v>
      </c>
      <c r="H133" s="415"/>
      <c r="I133" s="259" t="s">
        <v>84</v>
      </c>
      <c r="J133" s="22"/>
      <c r="K133" s="22"/>
      <c r="L133" s="475">
        <f t="shared" si="7"/>
        <v>0</v>
      </c>
      <c r="M133" s="260">
        <f>L133</f>
        <v>0</v>
      </c>
      <c r="N133" s="260">
        <v>0</v>
      </c>
      <c r="O133" s="260">
        <v>0</v>
      </c>
      <c r="P133" s="260">
        <v>0</v>
      </c>
      <c r="Q133" s="260"/>
      <c r="R133" s="261"/>
    </row>
    <row r="134" spans="1:33" ht="15.75" thickTop="1" x14ac:dyDescent="0.25">
      <c r="A134" s="109">
        <v>26</v>
      </c>
      <c r="B134" s="208" t="s">
        <v>90</v>
      </c>
      <c r="C134" s="111" t="s">
        <v>112</v>
      </c>
      <c r="D134" s="132" t="s">
        <v>113</v>
      </c>
      <c r="E134" s="168" t="s">
        <v>26</v>
      </c>
      <c r="F134" s="168" t="s">
        <v>64</v>
      </c>
      <c r="G134" s="208" t="s">
        <v>65</v>
      </c>
      <c r="H134" s="416">
        <v>2010</v>
      </c>
      <c r="I134" s="262" t="s">
        <v>66</v>
      </c>
      <c r="J134" s="10">
        <v>181.17</v>
      </c>
      <c r="K134" s="10">
        <f>6529.6*1.05</f>
        <v>6856.0800000000008</v>
      </c>
      <c r="L134" s="466">
        <f t="shared" si="7"/>
        <v>1242116.0136000002</v>
      </c>
      <c r="M134" s="115"/>
      <c r="N134" s="115"/>
      <c r="O134" s="115"/>
      <c r="P134" s="115"/>
      <c r="Q134" s="115"/>
      <c r="R134" s="542" t="s">
        <v>198</v>
      </c>
    </row>
    <row r="135" spans="1:33" x14ac:dyDescent="0.25">
      <c r="A135" s="209"/>
      <c r="B135" s="210"/>
      <c r="C135" s="199"/>
      <c r="D135" s="118"/>
      <c r="E135" s="198"/>
      <c r="F135" s="198" t="s">
        <v>64</v>
      </c>
      <c r="G135" s="210" t="s">
        <v>65</v>
      </c>
      <c r="H135" s="407">
        <v>2010</v>
      </c>
      <c r="I135" s="80" t="s">
        <v>66</v>
      </c>
      <c r="J135" s="16">
        <v>181.17</v>
      </c>
      <c r="K135" s="16">
        <v>6529.6</v>
      </c>
      <c r="L135" s="467">
        <f t="shared" si="7"/>
        <v>1182967.632</v>
      </c>
      <c r="M135" s="120"/>
      <c r="N135" s="120"/>
      <c r="O135" s="120"/>
      <c r="P135" s="120"/>
      <c r="Q135" s="120"/>
      <c r="R135" s="543"/>
    </row>
    <row r="136" spans="1:33" s="237" customFormat="1" x14ac:dyDescent="0.25">
      <c r="A136" s="116"/>
      <c r="B136" s="119"/>
      <c r="C136" s="263"/>
      <c r="D136" s="264"/>
      <c r="E136" s="265"/>
      <c r="F136" s="265" t="s">
        <v>57</v>
      </c>
      <c r="G136" s="119">
        <v>3</v>
      </c>
      <c r="H136" s="390">
        <v>2012</v>
      </c>
      <c r="I136" s="80" t="s">
        <v>20</v>
      </c>
      <c r="J136" s="2">
        <f>335.73*3</f>
        <v>1007.19</v>
      </c>
      <c r="K136" s="2">
        <v>6490.5</v>
      </c>
      <c r="L136" s="462">
        <f t="shared" ref="L136" si="11">J136*K136</f>
        <v>6537166.6950000003</v>
      </c>
      <c r="M136" s="266"/>
      <c r="N136" s="266"/>
      <c r="O136" s="266"/>
      <c r="P136" s="266"/>
      <c r="Q136" s="266"/>
      <c r="R136" s="543"/>
      <c r="S136" s="236"/>
      <c r="T136" s="236"/>
      <c r="U136" s="236"/>
      <c r="V136" s="236"/>
      <c r="W136" s="236"/>
      <c r="X136" s="236"/>
      <c r="Y136" s="236"/>
      <c r="Z136" s="236"/>
      <c r="AA136" s="236"/>
      <c r="AB136" s="236"/>
      <c r="AC136" s="236"/>
      <c r="AD136" s="236"/>
      <c r="AE136" s="236"/>
      <c r="AF136" s="236"/>
      <c r="AG136" s="236"/>
    </row>
    <row r="137" spans="1:33" s="237" customFormat="1" ht="15.75" thickBot="1" x14ac:dyDescent="0.3">
      <c r="A137" s="267"/>
      <c r="B137" s="268"/>
      <c r="C137" s="269"/>
      <c r="D137" s="270"/>
      <c r="E137" s="271"/>
      <c r="F137" s="272" t="s">
        <v>167</v>
      </c>
      <c r="G137" s="268">
        <v>3</v>
      </c>
      <c r="H137" s="417">
        <v>2015</v>
      </c>
      <c r="I137" s="273" t="s">
        <v>20</v>
      </c>
      <c r="J137" s="23">
        <f>252.3*3</f>
        <v>756.90000000000009</v>
      </c>
      <c r="K137" s="23">
        <v>7031.38</v>
      </c>
      <c r="L137" s="474">
        <f t="shared" si="7"/>
        <v>5322051.5220000008</v>
      </c>
      <c r="M137" s="107">
        <f>SUM(L134:L137)</f>
        <v>14284301.862600002</v>
      </c>
      <c r="N137" s="107">
        <f>M137</f>
        <v>14284301.862600002</v>
      </c>
      <c r="O137" s="534">
        <v>2155693.7599999998</v>
      </c>
      <c r="P137" s="107">
        <v>1000000</v>
      </c>
      <c r="Q137" s="107" t="s">
        <v>246</v>
      </c>
      <c r="R137" s="545"/>
      <c r="S137" s="236"/>
      <c r="T137" s="236"/>
      <c r="U137" s="236"/>
      <c r="V137" s="236"/>
      <c r="W137" s="236"/>
      <c r="X137" s="236"/>
      <c r="Y137" s="236"/>
      <c r="Z137" s="236"/>
      <c r="AA137" s="236"/>
      <c r="AB137" s="236"/>
      <c r="AC137" s="236"/>
      <c r="AD137" s="236"/>
      <c r="AE137" s="236"/>
      <c r="AF137" s="236"/>
      <c r="AG137" s="236"/>
    </row>
    <row r="138" spans="1:33" ht="15.75" customHeight="1" thickTop="1" x14ac:dyDescent="0.25">
      <c r="A138" s="274">
        <v>27</v>
      </c>
      <c r="B138" s="208" t="s">
        <v>90</v>
      </c>
      <c r="C138" s="111" t="s">
        <v>114</v>
      </c>
      <c r="D138" s="132" t="s">
        <v>115</v>
      </c>
      <c r="E138" s="168" t="s">
        <v>26</v>
      </c>
      <c r="F138" s="218" t="s">
        <v>21</v>
      </c>
      <c r="G138" s="275" t="s">
        <v>36</v>
      </c>
      <c r="H138" s="418">
        <v>2008</v>
      </c>
      <c r="I138" s="276" t="s">
        <v>23</v>
      </c>
      <c r="J138" s="24">
        <v>89.19</v>
      </c>
      <c r="K138" s="24">
        <v>2195.14</v>
      </c>
      <c r="L138" s="466">
        <f t="shared" si="7"/>
        <v>195784.53659999999</v>
      </c>
      <c r="M138" s="115"/>
      <c r="N138" s="115"/>
      <c r="O138" s="115"/>
      <c r="P138" s="115"/>
      <c r="Q138" s="115"/>
      <c r="R138" s="542" t="s">
        <v>215</v>
      </c>
    </row>
    <row r="139" spans="1:33" x14ac:dyDescent="0.25">
      <c r="A139" s="277"/>
      <c r="B139" s="210"/>
      <c r="C139" s="199"/>
      <c r="D139" s="118" t="s">
        <v>218</v>
      </c>
      <c r="E139" s="198"/>
      <c r="F139" s="224" t="s">
        <v>60</v>
      </c>
      <c r="G139" s="196" t="s">
        <v>36</v>
      </c>
      <c r="H139" s="403">
        <v>2008</v>
      </c>
      <c r="I139" s="80" t="s">
        <v>23</v>
      </c>
      <c r="J139" s="15">
        <v>89.19</v>
      </c>
      <c r="K139" s="15">
        <v>2195.14</v>
      </c>
      <c r="L139" s="467">
        <f t="shared" si="7"/>
        <v>195784.53659999999</v>
      </c>
      <c r="M139" s="120"/>
      <c r="N139" s="120"/>
      <c r="O139" s="120"/>
      <c r="P139" s="120"/>
      <c r="Q139" s="120"/>
      <c r="R139" s="543"/>
    </row>
    <row r="140" spans="1:33" x14ac:dyDescent="0.25">
      <c r="A140" s="209"/>
      <c r="B140" s="278"/>
      <c r="C140" s="193"/>
      <c r="D140" s="144"/>
      <c r="E140" s="202"/>
      <c r="F140" s="224" t="s">
        <v>60</v>
      </c>
      <c r="G140" s="196" t="s">
        <v>36</v>
      </c>
      <c r="H140" s="403">
        <v>2008</v>
      </c>
      <c r="I140" s="80" t="s">
        <v>23</v>
      </c>
      <c r="J140" s="15">
        <v>89.19</v>
      </c>
      <c r="K140" s="15">
        <v>2195.14</v>
      </c>
      <c r="L140" s="467">
        <f t="shared" si="7"/>
        <v>195784.53659999999</v>
      </c>
      <c r="M140" s="120"/>
      <c r="N140" s="120"/>
      <c r="O140" s="120"/>
      <c r="P140" s="120"/>
      <c r="Q140" s="120"/>
      <c r="R140" s="543"/>
    </row>
    <row r="141" spans="1:33" x14ac:dyDescent="0.25">
      <c r="A141" s="209"/>
      <c r="B141" s="210"/>
      <c r="C141" s="199"/>
      <c r="D141" s="118"/>
      <c r="E141" s="198"/>
      <c r="F141" s="224" t="s">
        <v>60</v>
      </c>
      <c r="G141" s="196" t="s">
        <v>36</v>
      </c>
      <c r="H141" s="403">
        <v>2008</v>
      </c>
      <c r="I141" s="80" t="s">
        <v>23</v>
      </c>
      <c r="J141" s="15">
        <v>89.19</v>
      </c>
      <c r="K141" s="15">
        <v>2195.14</v>
      </c>
      <c r="L141" s="467">
        <f t="shared" si="7"/>
        <v>195784.53659999999</v>
      </c>
      <c r="M141" s="120"/>
      <c r="N141" s="120"/>
      <c r="O141" s="120"/>
      <c r="P141" s="120"/>
      <c r="Q141" s="120"/>
      <c r="R141" s="543"/>
    </row>
    <row r="142" spans="1:33" x14ac:dyDescent="0.25">
      <c r="A142" s="209"/>
      <c r="B142" s="210"/>
      <c r="C142" s="199"/>
      <c r="D142" s="118"/>
      <c r="E142" s="198"/>
      <c r="F142" s="198" t="s">
        <v>82</v>
      </c>
      <c r="G142" s="278">
        <v>1</v>
      </c>
      <c r="H142" s="409">
        <v>2008</v>
      </c>
      <c r="I142" s="147" t="s">
        <v>116</v>
      </c>
      <c r="J142" s="16">
        <v>69.27</v>
      </c>
      <c r="K142" s="16">
        <v>2414.65</v>
      </c>
      <c r="L142" s="467">
        <f t="shared" si="7"/>
        <v>167262.80549999999</v>
      </c>
      <c r="M142" s="120"/>
      <c r="N142" s="120"/>
      <c r="O142" s="120"/>
      <c r="P142" s="120"/>
      <c r="Q142" s="120"/>
      <c r="R142" s="543"/>
    </row>
    <row r="143" spans="1:33" x14ac:dyDescent="0.25">
      <c r="A143" s="279"/>
      <c r="B143" s="225"/>
      <c r="C143" s="280"/>
      <c r="D143" s="118"/>
      <c r="E143" s="249"/>
      <c r="F143" s="434" t="s">
        <v>108</v>
      </c>
      <c r="G143" s="281">
        <v>1</v>
      </c>
      <c r="H143" s="419"/>
      <c r="I143" s="282" t="s">
        <v>84</v>
      </c>
      <c r="J143" s="25">
        <v>0</v>
      </c>
      <c r="K143" s="25">
        <v>0</v>
      </c>
      <c r="L143" s="476">
        <f t="shared" si="7"/>
        <v>0</v>
      </c>
      <c r="M143" s="283"/>
      <c r="N143" s="283"/>
      <c r="O143" s="283"/>
      <c r="P143" s="283"/>
      <c r="Q143" s="283"/>
      <c r="R143" s="543"/>
    </row>
    <row r="144" spans="1:33" ht="15.75" thickBot="1" x14ac:dyDescent="0.3">
      <c r="A144" s="203"/>
      <c r="B144" s="215"/>
      <c r="C144" s="174"/>
      <c r="D144" s="128"/>
      <c r="E144" s="173"/>
      <c r="F144" s="173" t="s">
        <v>117</v>
      </c>
      <c r="G144" s="215">
        <v>1</v>
      </c>
      <c r="H144" s="411">
        <v>2008</v>
      </c>
      <c r="I144" s="241" t="s">
        <v>118</v>
      </c>
      <c r="J144" s="12">
        <v>15.13</v>
      </c>
      <c r="K144" s="12">
        <v>1097.57</v>
      </c>
      <c r="L144" s="464">
        <f t="shared" si="7"/>
        <v>16606.234100000001</v>
      </c>
      <c r="M144" s="130">
        <f>SUM(L138:L144)</f>
        <v>967007.18599999999</v>
      </c>
      <c r="N144" s="130">
        <f>M144</f>
        <v>967007.18599999999</v>
      </c>
      <c r="O144" s="534">
        <v>1404251.71</v>
      </c>
      <c r="P144" s="130">
        <v>1000000</v>
      </c>
      <c r="Q144" s="130" t="s">
        <v>246</v>
      </c>
      <c r="R144" s="545"/>
    </row>
    <row r="145" spans="1:18" ht="15.75" thickTop="1" x14ac:dyDescent="0.25">
      <c r="A145" s="109">
        <v>28</v>
      </c>
      <c r="B145" s="208" t="s">
        <v>90</v>
      </c>
      <c r="C145" s="111" t="s">
        <v>119</v>
      </c>
      <c r="D145" s="132" t="s">
        <v>120</v>
      </c>
      <c r="E145" s="168" t="s">
        <v>26</v>
      </c>
      <c r="F145" s="284" t="s">
        <v>164</v>
      </c>
      <c r="G145" s="113">
        <v>3</v>
      </c>
      <c r="H145" s="393">
        <v>2012</v>
      </c>
      <c r="I145" s="114" t="s">
        <v>20</v>
      </c>
      <c r="J145" s="10">
        <v>1006.62</v>
      </c>
      <c r="K145" s="10">
        <v>6490.5</v>
      </c>
      <c r="L145" s="466">
        <f t="shared" si="7"/>
        <v>6533467.1100000003</v>
      </c>
      <c r="M145" s="115"/>
      <c r="N145" s="115"/>
      <c r="O145" s="115"/>
      <c r="P145" s="115"/>
      <c r="Q145" s="115"/>
      <c r="R145" s="542" t="s">
        <v>199</v>
      </c>
    </row>
    <row r="146" spans="1:18" x14ac:dyDescent="0.25">
      <c r="A146" s="209"/>
      <c r="B146" s="210"/>
      <c r="C146" s="199"/>
      <c r="D146" s="118"/>
      <c r="E146" s="198"/>
      <c r="F146" s="78" t="s">
        <v>57</v>
      </c>
      <c r="G146" s="119">
        <v>3</v>
      </c>
      <c r="H146" s="390">
        <v>2009</v>
      </c>
      <c r="I146" s="80" t="s">
        <v>20</v>
      </c>
      <c r="J146" s="2">
        <f>335.73*3</f>
        <v>1007.19</v>
      </c>
      <c r="K146" s="2">
        <v>6490.5</v>
      </c>
      <c r="L146" s="467">
        <f t="shared" si="7"/>
        <v>6537166.6950000003</v>
      </c>
      <c r="M146" s="120"/>
      <c r="N146" s="120"/>
      <c r="O146" s="120"/>
      <c r="P146" s="120"/>
      <c r="Q146" s="120"/>
      <c r="R146" s="543"/>
    </row>
    <row r="147" spans="1:18" x14ac:dyDescent="0.25">
      <c r="A147" s="212"/>
      <c r="B147" s="213"/>
      <c r="C147" s="186"/>
      <c r="D147" s="123"/>
      <c r="E147" s="125"/>
      <c r="F147" s="86" t="s">
        <v>58</v>
      </c>
      <c r="G147" s="88">
        <v>3</v>
      </c>
      <c r="H147" s="394">
        <v>2011</v>
      </c>
      <c r="I147" s="89" t="s">
        <v>20</v>
      </c>
      <c r="J147" s="3">
        <f>252.3*3</f>
        <v>756.90000000000009</v>
      </c>
      <c r="K147" s="3">
        <v>7031.38</v>
      </c>
      <c r="L147" s="463">
        <f t="shared" si="7"/>
        <v>5322051.5220000008</v>
      </c>
      <c r="M147" s="81"/>
      <c r="N147" s="81"/>
      <c r="O147" s="81"/>
      <c r="P147" s="81"/>
      <c r="Q147" s="81"/>
      <c r="R147" s="543"/>
    </row>
    <row r="148" spans="1:18" ht="15.75" thickBot="1" x14ac:dyDescent="0.3">
      <c r="A148" s="203"/>
      <c r="B148" s="215"/>
      <c r="C148" s="216"/>
      <c r="D148" s="128"/>
      <c r="E148" s="173"/>
      <c r="F148" s="173" t="s">
        <v>29</v>
      </c>
      <c r="G148" s="215">
        <v>1</v>
      </c>
      <c r="H148" s="411">
        <v>2013</v>
      </c>
      <c r="I148" s="98" t="s">
        <v>20</v>
      </c>
      <c r="J148" s="4">
        <v>611.77</v>
      </c>
      <c r="K148" s="4">
        <v>7070.82</v>
      </c>
      <c r="L148" s="464">
        <f t="shared" si="7"/>
        <v>4325715.5513999993</v>
      </c>
      <c r="M148" s="130">
        <f>SUM(L145:L148)</f>
        <v>22718400.878399998</v>
      </c>
      <c r="N148" s="130">
        <f>M148</f>
        <v>22718400.878399998</v>
      </c>
      <c r="O148" s="534">
        <v>2354289.7999999998</v>
      </c>
      <c r="P148" s="130">
        <v>1000000</v>
      </c>
      <c r="Q148" s="130" t="s">
        <v>246</v>
      </c>
      <c r="R148" s="545"/>
    </row>
    <row r="149" spans="1:18" s="72" customFormat="1" ht="15.75" thickTop="1" x14ac:dyDescent="0.25">
      <c r="A149" s="109">
        <v>29</v>
      </c>
      <c r="B149" s="208" t="s">
        <v>90</v>
      </c>
      <c r="C149" s="111" t="s">
        <v>121</v>
      </c>
      <c r="D149" s="132" t="s">
        <v>122</v>
      </c>
      <c r="E149" s="168" t="s">
        <v>26</v>
      </c>
      <c r="F149" s="168" t="s">
        <v>164</v>
      </c>
      <c r="G149" s="208">
        <v>3</v>
      </c>
      <c r="H149" s="406">
        <v>2012</v>
      </c>
      <c r="I149" s="114" t="s">
        <v>20</v>
      </c>
      <c r="J149" s="6">
        <f>335.54*3</f>
        <v>1006.6200000000001</v>
      </c>
      <c r="K149" s="6">
        <v>6490.5</v>
      </c>
      <c r="L149" s="466">
        <f t="shared" si="7"/>
        <v>6533467.1100000003</v>
      </c>
      <c r="M149" s="115"/>
      <c r="N149" s="115"/>
      <c r="O149" s="115"/>
      <c r="P149" s="115"/>
      <c r="Q149" s="115"/>
      <c r="R149" s="542" t="s">
        <v>200</v>
      </c>
    </row>
    <row r="150" spans="1:18" s="72" customFormat="1" x14ac:dyDescent="0.25">
      <c r="A150" s="285"/>
      <c r="B150" s="183"/>
      <c r="C150" s="286"/>
      <c r="D150" s="144"/>
      <c r="E150" s="240"/>
      <c r="F150" s="287" t="s">
        <v>57</v>
      </c>
      <c r="G150" s="157">
        <v>3</v>
      </c>
      <c r="H150" s="397">
        <v>2011</v>
      </c>
      <c r="I150" s="158" t="s">
        <v>20</v>
      </c>
      <c r="J150" s="7">
        <f>335.73*3</f>
        <v>1007.19</v>
      </c>
      <c r="K150" s="7">
        <v>6490.5</v>
      </c>
      <c r="L150" s="468">
        <f t="shared" si="7"/>
        <v>6537166.6950000003</v>
      </c>
      <c r="M150" s="138"/>
      <c r="N150" s="138"/>
      <c r="O150" s="138"/>
      <c r="P150" s="138"/>
      <c r="Q150" s="138"/>
      <c r="R150" s="543"/>
    </row>
    <row r="151" spans="1:18" s="72" customFormat="1" x14ac:dyDescent="0.25">
      <c r="A151" s="288"/>
      <c r="B151" s="228"/>
      <c r="C151" s="229"/>
      <c r="D151" s="123"/>
      <c r="E151" s="230"/>
      <c r="F151" s="87" t="s">
        <v>58</v>
      </c>
      <c r="G151" s="289">
        <v>3</v>
      </c>
      <c r="H151" s="420">
        <v>2012</v>
      </c>
      <c r="I151" s="290" t="s">
        <v>20</v>
      </c>
      <c r="J151" s="35">
        <f>252.3*3</f>
        <v>756.90000000000009</v>
      </c>
      <c r="K151" s="26">
        <v>7031.38</v>
      </c>
      <c r="L151" s="477">
        <f t="shared" ref="L151" si="12">J151*K151</f>
        <v>5322051.5220000008</v>
      </c>
      <c r="M151" s="90"/>
      <c r="N151" s="90"/>
      <c r="O151" s="90"/>
      <c r="P151" s="90"/>
      <c r="Q151" s="90"/>
      <c r="R151" s="543"/>
    </row>
    <row r="152" spans="1:18" s="72" customFormat="1" ht="15.75" thickBot="1" x14ac:dyDescent="0.3">
      <c r="A152" s="291"/>
      <c r="B152" s="292"/>
      <c r="C152" s="293"/>
      <c r="D152" s="128"/>
      <c r="E152" s="241"/>
      <c r="F152" s="201" t="s">
        <v>168</v>
      </c>
      <c r="G152" s="165">
        <v>1</v>
      </c>
      <c r="H152" s="405">
        <v>2016</v>
      </c>
      <c r="I152" s="166" t="s">
        <v>20</v>
      </c>
      <c r="J152" s="36">
        <v>144</v>
      </c>
      <c r="K152" s="4">
        <v>7070.82</v>
      </c>
      <c r="L152" s="464">
        <f t="shared" ref="L152" si="13">J152*K152</f>
        <v>1018198.08</v>
      </c>
      <c r="M152" s="99">
        <f>SUM(L149:L152)</f>
        <v>19410883.406999998</v>
      </c>
      <c r="N152" s="99">
        <f>M152</f>
        <v>19410883.406999998</v>
      </c>
      <c r="O152" s="534">
        <v>4396014.75</v>
      </c>
      <c r="P152" s="99">
        <v>1000000</v>
      </c>
      <c r="Q152" s="99" t="s">
        <v>246</v>
      </c>
      <c r="R152" s="545"/>
    </row>
    <row r="153" spans="1:18" ht="15.75" thickTop="1" x14ac:dyDescent="0.25">
      <c r="A153" s="109">
        <v>30</v>
      </c>
      <c r="B153" s="208" t="s">
        <v>123</v>
      </c>
      <c r="C153" s="111" t="s">
        <v>124</v>
      </c>
      <c r="D153" s="132" t="s">
        <v>125</v>
      </c>
      <c r="E153" s="168" t="s">
        <v>26</v>
      </c>
      <c r="F153" s="168" t="s">
        <v>57</v>
      </c>
      <c r="G153" s="208">
        <v>3</v>
      </c>
      <c r="H153" s="406">
        <v>2007</v>
      </c>
      <c r="I153" s="114" t="s">
        <v>20</v>
      </c>
      <c r="J153" s="6">
        <f>335.54*3</f>
        <v>1006.6200000000001</v>
      </c>
      <c r="K153" s="6">
        <v>6490.5</v>
      </c>
      <c r="L153" s="466">
        <f t="shared" si="7"/>
        <v>6533467.1100000003</v>
      </c>
      <c r="M153" s="115"/>
      <c r="N153" s="115"/>
      <c r="O153" s="115"/>
      <c r="P153" s="115"/>
      <c r="Q153" s="115"/>
      <c r="R153" s="542" t="s">
        <v>201</v>
      </c>
    </row>
    <row r="154" spans="1:18" x14ac:dyDescent="0.25">
      <c r="A154" s="209"/>
      <c r="B154" s="210"/>
      <c r="C154" s="211"/>
      <c r="D154" s="118"/>
      <c r="E154" s="198"/>
      <c r="F154" s="198" t="s">
        <v>58</v>
      </c>
      <c r="G154" s="210">
        <v>3</v>
      </c>
      <c r="H154" s="407">
        <v>2008</v>
      </c>
      <c r="I154" s="147" t="s">
        <v>20</v>
      </c>
      <c r="J154" s="35">
        <f>252.3*3</f>
        <v>756.90000000000009</v>
      </c>
      <c r="K154" s="2">
        <v>7031.38</v>
      </c>
      <c r="L154" s="467">
        <f t="shared" si="7"/>
        <v>5322051.5220000008</v>
      </c>
      <c r="M154" s="120"/>
      <c r="N154" s="120"/>
      <c r="O154" s="120"/>
      <c r="P154" s="120"/>
      <c r="Q154" s="120"/>
      <c r="R154" s="543"/>
    </row>
    <row r="155" spans="1:18" x14ac:dyDescent="0.25">
      <c r="A155" s="209"/>
      <c r="B155" s="210"/>
      <c r="C155" s="211"/>
      <c r="D155" s="118"/>
      <c r="E155" s="198"/>
      <c r="F155" s="198" t="s">
        <v>29</v>
      </c>
      <c r="G155" s="210">
        <v>1</v>
      </c>
      <c r="H155" s="407">
        <v>2008</v>
      </c>
      <c r="I155" s="147" t="s">
        <v>20</v>
      </c>
      <c r="J155" s="2">
        <v>611.77</v>
      </c>
      <c r="K155" s="2">
        <v>7070.82</v>
      </c>
      <c r="L155" s="467">
        <f t="shared" si="7"/>
        <v>4325715.5513999993</v>
      </c>
      <c r="M155" s="120"/>
      <c r="N155" s="120"/>
      <c r="O155" s="120"/>
      <c r="P155" s="120"/>
      <c r="Q155" s="120"/>
      <c r="R155" s="543"/>
    </row>
    <row r="156" spans="1:18" x14ac:dyDescent="0.25">
      <c r="A156" s="209"/>
      <c r="B156" s="210"/>
      <c r="C156" s="211"/>
      <c r="D156" s="118"/>
      <c r="E156" s="198"/>
      <c r="F156" s="198" t="s">
        <v>126</v>
      </c>
      <c r="G156" s="210">
        <v>2</v>
      </c>
      <c r="H156" s="407">
        <v>2004</v>
      </c>
      <c r="I156" s="147" t="s">
        <v>18</v>
      </c>
      <c r="J156" s="16">
        <f>366.94*2</f>
        <v>733.88</v>
      </c>
      <c r="K156" s="16">
        <v>7510.5</v>
      </c>
      <c r="L156" s="467">
        <f t="shared" si="7"/>
        <v>5511805.7400000002</v>
      </c>
      <c r="M156" s="120"/>
      <c r="N156" s="120"/>
      <c r="O156" s="120"/>
      <c r="P156" s="120"/>
      <c r="Q156" s="120"/>
      <c r="R156" s="543"/>
    </row>
    <row r="157" spans="1:18" ht="18.75" x14ac:dyDescent="0.25">
      <c r="A157" s="212"/>
      <c r="B157" s="213"/>
      <c r="C157" s="214"/>
      <c r="D157" s="123"/>
      <c r="E157" s="125"/>
      <c r="F157" s="249" t="s">
        <v>126</v>
      </c>
      <c r="G157" s="225">
        <v>2</v>
      </c>
      <c r="H157" s="402">
        <v>2019</v>
      </c>
      <c r="I157" s="158" t="s">
        <v>18</v>
      </c>
      <c r="J157" s="37">
        <f>366.94*2</f>
        <v>733.88</v>
      </c>
      <c r="K157" s="16">
        <f>8345.63*1.2</f>
        <v>10014.755999999999</v>
      </c>
      <c r="L157" s="467">
        <f t="shared" ref="L157" si="14">J157*K157</f>
        <v>7349629.1332799997</v>
      </c>
      <c r="M157" s="294"/>
      <c r="N157" s="294"/>
      <c r="O157" s="294"/>
      <c r="P157" s="294"/>
      <c r="Q157" s="294"/>
      <c r="R157" s="543"/>
    </row>
    <row r="158" spans="1:18" ht="15.75" thickBot="1" x14ac:dyDescent="0.3">
      <c r="A158" s="203"/>
      <c r="B158" s="215"/>
      <c r="C158" s="216"/>
      <c r="D158" s="128"/>
      <c r="E158" s="173"/>
      <c r="F158" s="173" t="s">
        <v>127</v>
      </c>
      <c r="G158" s="215">
        <v>1</v>
      </c>
      <c r="H158" s="411">
        <v>2002</v>
      </c>
      <c r="I158" s="98" t="s">
        <v>116</v>
      </c>
      <c r="J158" s="12">
        <v>119.48</v>
      </c>
      <c r="K158" s="12">
        <f>2414.65*1.5</f>
        <v>3621.9750000000004</v>
      </c>
      <c r="L158" s="464">
        <f t="shared" ref="L158:L203" si="15">J158*K158</f>
        <v>432753.57300000003</v>
      </c>
      <c r="M158" s="130">
        <f>SUM(L153:L158)</f>
        <v>29475422.62968</v>
      </c>
      <c r="N158" s="512">
        <f>M158</f>
        <v>29475422.62968</v>
      </c>
      <c r="O158" s="534">
        <v>6899768.7399999993</v>
      </c>
      <c r="P158" s="513">
        <v>1000000</v>
      </c>
      <c r="Q158" s="514" t="s">
        <v>246</v>
      </c>
      <c r="R158" s="545"/>
    </row>
    <row r="159" spans="1:18" ht="15.75" thickTop="1" x14ac:dyDescent="0.25">
      <c r="A159" s="246">
        <v>31</v>
      </c>
      <c r="B159" s="183" t="s">
        <v>123</v>
      </c>
      <c r="C159" s="295"/>
      <c r="D159" s="144" t="s">
        <v>128</v>
      </c>
      <c r="E159" s="240" t="s">
        <v>35</v>
      </c>
      <c r="F159" s="296" t="s">
        <v>21</v>
      </c>
      <c r="G159" s="225" t="s">
        <v>22</v>
      </c>
      <c r="H159" s="409">
        <v>2011</v>
      </c>
      <c r="I159" s="158" t="s">
        <v>23</v>
      </c>
      <c r="J159" s="11">
        <v>133.78</v>
      </c>
      <c r="K159" s="11">
        <v>2195.14</v>
      </c>
      <c r="L159" s="468">
        <f t="shared" si="15"/>
        <v>293665.82919999998</v>
      </c>
      <c r="M159" s="138"/>
      <c r="N159" s="138"/>
      <c r="O159" s="138"/>
      <c r="P159" s="138"/>
      <c r="Q159" s="138"/>
      <c r="R159" s="542" t="s">
        <v>202</v>
      </c>
    </row>
    <row r="160" spans="1:18" x14ac:dyDescent="0.25">
      <c r="A160" s="209"/>
      <c r="B160" s="210"/>
      <c r="C160" s="199"/>
      <c r="D160" s="118"/>
      <c r="E160" s="198"/>
      <c r="F160" s="296" t="s">
        <v>21</v>
      </c>
      <c r="G160" s="210" t="s">
        <v>22</v>
      </c>
      <c r="H160" s="407">
        <v>2011</v>
      </c>
      <c r="I160" s="80" t="s">
        <v>23</v>
      </c>
      <c r="J160" s="16">
        <v>133.78</v>
      </c>
      <c r="K160" s="16">
        <v>2195.14</v>
      </c>
      <c r="L160" s="467">
        <f t="shared" si="15"/>
        <v>293665.82919999998</v>
      </c>
      <c r="M160" s="120"/>
      <c r="N160" s="120"/>
      <c r="O160" s="120"/>
      <c r="P160" s="120"/>
      <c r="Q160" s="120"/>
      <c r="R160" s="543"/>
    </row>
    <row r="161" spans="1:33" ht="15.75" thickBot="1" x14ac:dyDescent="0.3">
      <c r="A161" s="209"/>
      <c r="B161" s="210"/>
      <c r="C161" s="199"/>
      <c r="D161" s="118"/>
      <c r="E161" s="198"/>
      <c r="F161" s="296" t="s">
        <v>21</v>
      </c>
      <c r="G161" s="225" t="s">
        <v>22</v>
      </c>
      <c r="H161" s="407">
        <v>2011</v>
      </c>
      <c r="I161" s="137" t="s">
        <v>23</v>
      </c>
      <c r="J161" s="13">
        <v>133.78</v>
      </c>
      <c r="K161" s="13">
        <v>2195.14</v>
      </c>
      <c r="L161" s="468">
        <f t="shared" ref="L161:L162" si="16">J161*K161</f>
        <v>293665.82919999998</v>
      </c>
      <c r="M161" s="433"/>
      <c r="N161" s="433"/>
      <c r="O161" s="190"/>
      <c r="P161" s="433"/>
      <c r="Q161" s="433"/>
      <c r="R161" s="543"/>
    </row>
    <row r="162" spans="1:33" customFormat="1" ht="16.5" thickTop="1" thickBot="1" x14ac:dyDescent="0.3">
      <c r="A162" s="421"/>
      <c r="B162" s="410"/>
      <c r="C162" s="422"/>
      <c r="D162" s="423"/>
      <c r="E162" s="424"/>
      <c r="F162" s="192" t="s">
        <v>171</v>
      </c>
      <c r="G162" s="228">
        <v>1</v>
      </c>
      <c r="H162" s="402">
        <v>2016</v>
      </c>
      <c r="I162" s="198" t="s">
        <v>96</v>
      </c>
      <c r="J162" s="34">
        <v>45.88</v>
      </c>
      <c r="K162" s="20">
        <f>(1975.63*1.3)</f>
        <v>2568.3190000000004</v>
      </c>
      <c r="L162" s="468">
        <f t="shared" si="16"/>
        <v>117834.47572000003</v>
      </c>
      <c r="M162" s="425">
        <f>SUM(L159:L162)</f>
        <v>998831.96331999986</v>
      </c>
      <c r="N162" s="425">
        <f>M162</f>
        <v>998831.96331999986</v>
      </c>
      <c r="O162" s="534">
        <v>158415.14000000001</v>
      </c>
      <c r="P162" s="425">
        <v>500000</v>
      </c>
      <c r="Q162" s="425" t="s">
        <v>246</v>
      </c>
      <c r="R162" s="426"/>
      <c r="S162" s="427"/>
      <c r="T162" s="427"/>
      <c r="U162" s="427"/>
      <c r="V162" s="427"/>
      <c r="W162" s="427"/>
    </row>
    <row r="163" spans="1:33" ht="15.75" thickTop="1" x14ac:dyDescent="0.25">
      <c r="A163" s="297">
        <v>32</v>
      </c>
      <c r="B163" s="223" t="s">
        <v>123</v>
      </c>
      <c r="C163" s="298"/>
      <c r="D163" s="222" t="s">
        <v>129</v>
      </c>
      <c r="E163" s="299" t="s">
        <v>35</v>
      </c>
      <c r="F163" s="300" t="s">
        <v>21</v>
      </c>
      <c r="G163" s="223" t="s">
        <v>22</v>
      </c>
      <c r="H163" s="428">
        <v>2011</v>
      </c>
      <c r="I163" s="301" t="s">
        <v>23</v>
      </c>
      <c r="J163" s="19">
        <v>133.78</v>
      </c>
      <c r="K163" s="19">
        <v>2195.14</v>
      </c>
      <c r="L163" s="478">
        <f t="shared" si="15"/>
        <v>293665.82919999998</v>
      </c>
      <c r="M163" s="302"/>
      <c r="N163" s="302"/>
      <c r="O163" s="239"/>
      <c r="P163" s="302"/>
      <c r="Q163" s="302"/>
      <c r="R163" s="542" t="s">
        <v>203</v>
      </c>
    </row>
    <row r="164" spans="1:33" x14ac:dyDescent="0.25">
      <c r="A164" s="212"/>
      <c r="B164" s="213"/>
      <c r="C164" s="186"/>
      <c r="D164" s="123"/>
      <c r="E164" s="125"/>
      <c r="F164" s="296" t="s">
        <v>159</v>
      </c>
      <c r="G164" s="225">
        <v>1</v>
      </c>
      <c r="H164" s="402">
        <v>2011</v>
      </c>
      <c r="I164" s="137" t="s">
        <v>18</v>
      </c>
      <c r="J164" s="13">
        <v>77.760000000000005</v>
      </c>
      <c r="K164" s="13">
        <v>8345.6299999999992</v>
      </c>
      <c r="L164" s="469">
        <f t="shared" si="15"/>
        <v>648956.1888</v>
      </c>
      <c r="M164" s="81"/>
      <c r="N164" s="81"/>
      <c r="O164" s="81"/>
      <c r="P164" s="81"/>
      <c r="Q164" s="81"/>
      <c r="R164" s="543"/>
    </row>
    <row r="165" spans="1:33" x14ac:dyDescent="0.25">
      <c r="A165" s="212"/>
      <c r="B165" s="213"/>
      <c r="C165" s="186"/>
      <c r="D165" s="123"/>
      <c r="E165" s="125"/>
      <c r="F165" s="296" t="s">
        <v>78</v>
      </c>
      <c r="G165" s="225" t="s">
        <v>86</v>
      </c>
      <c r="H165" s="402">
        <v>2011</v>
      </c>
      <c r="I165" s="137" t="s">
        <v>23</v>
      </c>
      <c r="J165" s="13">
        <v>44.59</v>
      </c>
      <c r="K165" s="13">
        <v>2414.65</v>
      </c>
      <c r="L165" s="468">
        <f t="shared" ref="L165" si="17">J165*K165</f>
        <v>107669.24350000001</v>
      </c>
      <c r="M165" s="160"/>
      <c r="N165" s="160"/>
      <c r="O165" s="160"/>
      <c r="P165" s="160"/>
      <c r="Q165" s="160"/>
      <c r="R165" s="543"/>
    </row>
    <row r="166" spans="1:33" ht="15.75" thickBot="1" x14ac:dyDescent="0.3">
      <c r="A166" s="91"/>
      <c r="B166" s="215"/>
      <c r="C166" s="174"/>
      <c r="D166" s="128"/>
      <c r="E166" s="173"/>
      <c r="F166" s="175" t="s">
        <v>21</v>
      </c>
      <c r="G166" s="215" t="s">
        <v>22</v>
      </c>
      <c r="H166" s="411">
        <v>2011</v>
      </c>
      <c r="I166" s="98" t="s">
        <v>23</v>
      </c>
      <c r="J166" s="12">
        <v>133.78</v>
      </c>
      <c r="K166" s="12">
        <v>2195.14</v>
      </c>
      <c r="L166" s="464">
        <f t="shared" si="15"/>
        <v>293665.82919999998</v>
      </c>
      <c r="M166" s="130">
        <f>SUM(L163:L166)</f>
        <v>1343957.0907000001</v>
      </c>
      <c r="N166" s="130">
        <f>M166</f>
        <v>1343957.0907000001</v>
      </c>
      <c r="O166" s="534">
        <v>25351.86</v>
      </c>
      <c r="P166" s="130">
        <v>500000</v>
      </c>
      <c r="Q166" s="130" t="s">
        <v>246</v>
      </c>
      <c r="R166" s="545"/>
    </row>
    <row r="167" spans="1:33" s="237" customFormat="1" ht="15.75" thickTop="1" x14ac:dyDescent="0.25">
      <c r="A167" s="243">
        <v>33</v>
      </c>
      <c r="B167" s="303" t="s">
        <v>123</v>
      </c>
      <c r="C167" s="304"/>
      <c r="D167" s="305" t="s">
        <v>130</v>
      </c>
      <c r="E167" s="306" t="s">
        <v>35</v>
      </c>
      <c r="F167" s="300" t="s">
        <v>64</v>
      </c>
      <c r="G167" s="303">
        <v>1</v>
      </c>
      <c r="H167" s="429">
        <v>2012</v>
      </c>
      <c r="I167" s="307" t="s">
        <v>66</v>
      </c>
      <c r="J167" s="27">
        <v>181.17</v>
      </c>
      <c r="K167" s="27">
        <v>6529.6</v>
      </c>
      <c r="L167" s="477">
        <f t="shared" si="15"/>
        <v>1182967.632</v>
      </c>
      <c r="M167" s="239"/>
      <c r="N167" s="239"/>
      <c r="O167" s="239"/>
      <c r="P167" s="239"/>
      <c r="Q167" s="239"/>
      <c r="R167" s="542" t="s">
        <v>204</v>
      </c>
      <c r="S167" s="236"/>
      <c r="T167" s="236"/>
      <c r="U167" s="236"/>
      <c r="V167" s="236"/>
      <c r="W167" s="236"/>
      <c r="X167" s="236"/>
      <c r="Y167" s="236"/>
      <c r="Z167" s="236"/>
      <c r="AA167" s="236"/>
      <c r="AB167" s="236"/>
      <c r="AC167" s="236"/>
      <c r="AD167" s="236"/>
      <c r="AE167" s="236"/>
      <c r="AF167" s="236"/>
      <c r="AG167" s="236"/>
    </row>
    <row r="168" spans="1:33" x14ac:dyDescent="0.25">
      <c r="A168" s="209"/>
      <c r="B168" s="210"/>
      <c r="C168" s="199"/>
      <c r="D168" s="118"/>
      <c r="E168" s="198"/>
      <c r="F168" s="296" t="s">
        <v>60</v>
      </c>
      <c r="G168" s="225" t="s">
        <v>144</v>
      </c>
      <c r="H168" s="402">
        <v>2012</v>
      </c>
      <c r="I168" s="137" t="s">
        <v>23</v>
      </c>
      <c r="J168" s="13">
        <v>53.53</v>
      </c>
      <c r="K168" s="13">
        <v>2195.14</v>
      </c>
      <c r="L168" s="469">
        <f>J168*K168</f>
        <v>117505.84419999999</v>
      </c>
      <c r="M168" s="81"/>
      <c r="N168" s="81"/>
      <c r="O168" s="81"/>
      <c r="P168" s="81"/>
      <c r="Q168" s="81"/>
      <c r="R168" s="543"/>
    </row>
    <row r="169" spans="1:33" ht="15.75" thickBot="1" x14ac:dyDescent="0.3">
      <c r="A169" s="91"/>
      <c r="B169" s="215"/>
      <c r="C169" s="174"/>
      <c r="D169" s="128"/>
      <c r="E169" s="173"/>
      <c r="F169" s="175" t="s">
        <v>21</v>
      </c>
      <c r="G169" s="215" t="s">
        <v>22</v>
      </c>
      <c r="H169" s="411">
        <v>2012</v>
      </c>
      <c r="I169" s="98" t="s">
        <v>23</v>
      </c>
      <c r="J169" s="12">
        <v>133.78</v>
      </c>
      <c r="K169" s="12">
        <v>2195.14</v>
      </c>
      <c r="L169" s="464">
        <f t="shared" si="15"/>
        <v>293665.82919999998</v>
      </c>
      <c r="M169" s="130">
        <f>SUM(L167:L169)</f>
        <v>1594139.3054</v>
      </c>
      <c r="N169" s="130">
        <f>M169</f>
        <v>1594139.3054</v>
      </c>
      <c r="O169" s="534">
        <v>17253.939999999999</v>
      </c>
      <c r="P169" s="130">
        <v>500000</v>
      </c>
      <c r="Q169" s="130" t="s">
        <v>246</v>
      </c>
      <c r="R169" s="545"/>
    </row>
    <row r="170" spans="1:33" ht="15.75" thickTop="1" x14ac:dyDescent="0.25">
      <c r="A170" s="109">
        <v>34</v>
      </c>
      <c r="B170" s="208" t="s">
        <v>123</v>
      </c>
      <c r="C170" s="111" t="s">
        <v>131</v>
      </c>
      <c r="D170" s="132" t="s">
        <v>132</v>
      </c>
      <c r="E170" s="168" t="s">
        <v>26</v>
      </c>
      <c r="F170" s="308" t="s">
        <v>57</v>
      </c>
      <c r="G170" s="69">
        <v>3</v>
      </c>
      <c r="H170" s="398">
        <v>2014</v>
      </c>
      <c r="I170" s="70" t="s">
        <v>20</v>
      </c>
      <c r="J170" s="1">
        <f>335.73*3</f>
        <v>1007.19</v>
      </c>
      <c r="K170" s="1">
        <v>6490.5</v>
      </c>
      <c r="L170" s="466">
        <f t="shared" si="15"/>
        <v>6537166.6950000003</v>
      </c>
      <c r="M170" s="115"/>
      <c r="N170" s="115"/>
      <c r="O170" s="115"/>
      <c r="P170" s="115"/>
      <c r="Q170" s="115"/>
      <c r="R170" s="542" t="s">
        <v>205</v>
      </c>
    </row>
    <row r="171" spans="1:33" x14ac:dyDescent="0.25">
      <c r="A171" s="209"/>
      <c r="B171" s="210"/>
      <c r="C171" s="199"/>
      <c r="D171" s="118"/>
      <c r="E171" s="198"/>
      <c r="F171" s="224" t="s">
        <v>60</v>
      </c>
      <c r="G171" s="210" t="s">
        <v>133</v>
      </c>
      <c r="H171" s="409">
        <v>2008</v>
      </c>
      <c r="I171" s="147" t="s">
        <v>23</v>
      </c>
      <c r="J171" s="16">
        <v>63.75</v>
      </c>
      <c r="K171" s="16">
        <v>2195.14</v>
      </c>
      <c r="L171" s="467">
        <f t="shared" si="15"/>
        <v>139940.17499999999</v>
      </c>
      <c r="M171" s="120"/>
      <c r="N171" s="120"/>
      <c r="O171" s="120"/>
      <c r="P171" s="120"/>
      <c r="Q171" s="120"/>
      <c r="R171" s="543"/>
    </row>
    <row r="172" spans="1:33" x14ac:dyDescent="0.25">
      <c r="A172" s="209"/>
      <c r="B172" s="210"/>
      <c r="C172" s="199"/>
      <c r="D172" s="118"/>
      <c r="E172" s="198"/>
      <c r="F172" s="224" t="s">
        <v>60</v>
      </c>
      <c r="G172" s="210" t="s">
        <v>133</v>
      </c>
      <c r="H172" s="409">
        <v>2008</v>
      </c>
      <c r="I172" s="147" t="s">
        <v>23</v>
      </c>
      <c r="J172" s="16">
        <v>48</v>
      </c>
      <c r="K172" s="16">
        <v>2195.14</v>
      </c>
      <c r="L172" s="467">
        <f t="shared" si="15"/>
        <v>105366.72</v>
      </c>
      <c r="M172" s="120"/>
      <c r="N172" s="120"/>
      <c r="O172" s="120"/>
      <c r="P172" s="120"/>
      <c r="Q172" s="120"/>
      <c r="R172" s="543"/>
    </row>
    <row r="173" spans="1:33" x14ac:dyDescent="0.25">
      <c r="A173" s="209"/>
      <c r="B173" s="210"/>
      <c r="C173" s="199"/>
      <c r="D173" s="118"/>
      <c r="E173" s="198"/>
      <c r="F173" s="224" t="s">
        <v>60</v>
      </c>
      <c r="G173" s="210" t="s">
        <v>133</v>
      </c>
      <c r="H173" s="409">
        <v>2008</v>
      </c>
      <c r="I173" s="147" t="s">
        <v>23</v>
      </c>
      <c r="J173" s="16">
        <v>48</v>
      </c>
      <c r="K173" s="16">
        <v>2195.14</v>
      </c>
      <c r="L173" s="467">
        <f t="shared" si="15"/>
        <v>105366.72</v>
      </c>
      <c r="M173" s="120"/>
      <c r="N173" s="120"/>
      <c r="O173" s="120"/>
      <c r="P173" s="120"/>
      <c r="Q173" s="120"/>
      <c r="R173" s="543"/>
    </row>
    <row r="174" spans="1:33" x14ac:dyDescent="0.25">
      <c r="A174" s="209"/>
      <c r="B174" s="210"/>
      <c r="C174" s="199"/>
      <c r="D174" s="118"/>
      <c r="E174" s="198"/>
      <c r="F174" s="224" t="s">
        <v>60</v>
      </c>
      <c r="G174" s="210" t="s">
        <v>133</v>
      </c>
      <c r="H174" s="409">
        <v>2008</v>
      </c>
      <c r="I174" s="147" t="s">
        <v>23</v>
      </c>
      <c r="J174" s="16">
        <v>48</v>
      </c>
      <c r="K174" s="16">
        <v>2195.14</v>
      </c>
      <c r="L174" s="467">
        <f t="shared" si="15"/>
        <v>105366.72</v>
      </c>
      <c r="M174" s="120"/>
      <c r="N174" s="120"/>
      <c r="O174" s="120"/>
      <c r="P174" s="120"/>
      <c r="Q174" s="120"/>
      <c r="R174" s="543"/>
    </row>
    <row r="175" spans="1:33" x14ac:dyDescent="0.25">
      <c r="A175" s="209"/>
      <c r="B175" s="210"/>
      <c r="C175" s="199"/>
      <c r="D175" s="118"/>
      <c r="E175" s="198"/>
      <c r="F175" s="224" t="s">
        <v>60</v>
      </c>
      <c r="G175" s="210" t="s">
        <v>134</v>
      </c>
      <c r="H175" s="409">
        <v>2008</v>
      </c>
      <c r="I175" s="147" t="s">
        <v>23</v>
      </c>
      <c r="J175" s="16">
        <v>111.63</v>
      </c>
      <c r="K175" s="16">
        <v>2195.14</v>
      </c>
      <c r="L175" s="467">
        <f t="shared" si="15"/>
        <v>245043.47819999998</v>
      </c>
      <c r="M175" s="120"/>
      <c r="N175" s="120"/>
      <c r="O175" s="120"/>
      <c r="P175" s="120"/>
      <c r="Q175" s="120"/>
      <c r="R175" s="543"/>
    </row>
    <row r="176" spans="1:33" ht="15.75" thickBot="1" x14ac:dyDescent="0.3">
      <c r="A176" s="203"/>
      <c r="B176" s="215"/>
      <c r="C176" s="174"/>
      <c r="D176" s="128"/>
      <c r="E176" s="173"/>
      <c r="F176" s="173" t="s">
        <v>82</v>
      </c>
      <c r="G176" s="215">
        <v>1</v>
      </c>
      <c r="H176" s="411">
        <v>2011</v>
      </c>
      <c r="I176" s="173" t="s">
        <v>32</v>
      </c>
      <c r="J176" s="12">
        <v>197.62</v>
      </c>
      <c r="K176" s="12">
        <v>5949.63</v>
      </c>
      <c r="L176" s="464">
        <f t="shared" si="15"/>
        <v>1175765.8806</v>
      </c>
      <c r="M176" s="130">
        <f>SUM(L170:L176)</f>
        <v>8414016.3887999989</v>
      </c>
      <c r="N176" s="130">
        <f>M176</f>
        <v>8414016.3887999989</v>
      </c>
      <c r="O176" s="534">
        <v>2290525.0499999998</v>
      </c>
      <c r="P176" s="130">
        <v>500000</v>
      </c>
      <c r="Q176" s="130" t="s">
        <v>246</v>
      </c>
      <c r="R176" s="545"/>
    </row>
    <row r="177" spans="1:33" s="237" customFormat="1" ht="15.75" thickTop="1" x14ac:dyDescent="0.25">
      <c r="A177" s="141">
        <v>35</v>
      </c>
      <c r="B177" s="146" t="s">
        <v>123</v>
      </c>
      <c r="C177" s="309"/>
      <c r="D177" s="310" t="s">
        <v>135</v>
      </c>
      <c r="E177" s="311" t="s">
        <v>35</v>
      </c>
      <c r="F177" s="265" t="s">
        <v>21</v>
      </c>
      <c r="G177" s="119" t="s">
        <v>22</v>
      </c>
      <c r="H177" s="396">
        <v>2012</v>
      </c>
      <c r="I177" s="147" t="s">
        <v>23</v>
      </c>
      <c r="J177" s="28">
        <v>133.78</v>
      </c>
      <c r="K177" s="28">
        <v>2195.14</v>
      </c>
      <c r="L177" s="467">
        <f t="shared" si="15"/>
        <v>293665.82919999998</v>
      </c>
      <c r="M177" s="120"/>
      <c r="N177" s="120"/>
      <c r="O177" s="120"/>
      <c r="P177" s="120"/>
      <c r="Q177" s="120"/>
      <c r="R177" s="542" t="s">
        <v>206</v>
      </c>
      <c r="S177" s="236"/>
      <c r="T177" s="236"/>
      <c r="U177" s="236"/>
      <c r="V177" s="236"/>
      <c r="W177" s="236"/>
      <c r="X177" s="236"/>
      <c r="Y177" s="236"/>
      <c r="Z177" s="236"/>
      <c r="AA177" s="236"/>
      <c r="AB177" s="236"/>
      <c r="AC177" s="236"/>
      <c r="AD177" s="236"/>
      <c r="AE177" s="236"/>
      <c r="AF177" s="236"/>
      <c r="AG177" s="236"/>
    </row>
    <row r="178" spans="1:33" x14ac:dyDescent="0.25">
      <c r="A178" s="209"/>
      <c r="B178" s="210"/>
      <c r="C178" s="199"/>
      <c r="D178" s="118"/>
      <c r="E178" s="198"/>
      <c r="F178" s="198" t="s">
        <v>21</v>
      </c>
      <c r="G178" s="210" t="s">
        <v>22</v>
      </c>
      <c r="H178" s="409">
        <v>2012</v>
      </c>
      <c r="I178" s="147" t="s">
        <v>23</v>
      </c>
      <c r="J178" s="16">
        <v>133.78</v>
      </c>
      <c r="K178" s="16">
        <v>2195.14</v>
      </c>
      <c r="L178" s="467">
        <f>J178*K178</f>
        <v>293665.82919999998</v>
      </c>
      <c r="M178" s="120"/>
      <c r="N178" s="120"/>
      <c r="O178" s="120"/>
      <c r="P178" s="120"/>
      <c r="Q178" s="120"/>
      <c r="R178" s="543"/>
    </row>
    <row r="179" spans="1:33" x14ac:dyDescent="0.25">
      <c r="A179" s="209"/>
      <c r="B179" s="210"/>
      <c r="C179" s="199"/>
      <c r="D179" s="118"/>
      <c r="E179" s="198"/>
      <c r="F179" s="296" t="s">
        <v>159</v>
      </c>
      <c r="G179" s="225">
        <v>1</v>
      </c>
      <c r="H179" s="402">
        <v>2017</v>
      </c>
      <c r="I179" s="137" t="s">
        <v>18</v>
      </c>
      <c r="J179" s="13">
        <v>51.51</v>
      </c>
      <c r="K179" s="13">
        <v>8245.6299999999992</v>
      </c>
      <c r="L179" s="469">
        <f t="shared" ref="L179" si="18">J179*K179</f>
        <v>424732.40129999997</v>
      </c>
      <c r="M179" s="120"/>
      <c r="N179" s="120"/>
      <c r="O179" s="120"/>
      <c r="P179" s="120"/>
      <c r="Q179" s="120"/>
      <c r="R179" s="543"/>
    </row>
    <row r="180" spans="1:33" x14ac:dyDescent="0.25">
      <c r="A180" s="209"/>
      <c r="B180" s="210"/>
      <c r="C180" s="199"/>
      <c r="D180" s="118"/>
      <c r="E180" s="198"/>
      <c r="F180" s="224" t="s">
        <v>60</v>
      </c>
      <c r="G180" s="225" t="s">
        <v>145</v>
      </c>
      <c r="H180" s="402">
        <v>2012</v>
      </c>
      <c r="I180" s="137" t="s">
        <v>23</v>
      </c>
      <c r="J180" s="13">
        <v>40.15</v>
      </c>
      <c r="K180" s="13">
        <v>2195.14</v>
      </c>
      <c r="L180" s="469">
        <f>J180*K180</f>
        <v>88134.870999999985</v>
      </c>
      <c r="M180" s="266"/>
      <c r="N180" s="266"/>
      <c r="O180" s="266"/>
      <c r="P180" s="266"/>
      <c r="Q180" s="266"/>
      <c r="R180" s="543"/>
    </row>
    <row r="181" spans="1:33" ht="15.75" thickBot="1" x14ac:dyDescent="0.3">
      <c r="A181" s="312"/>
      <c r="B181" s="313"/>
      <c r="C181" s="314"/>
      <c r="D181" s="256"/>
      <c r="E181" s="315"/>
      <c r="F181" s="316" t="s">
        <v>136</v>
      </c>
      <c r="G181" s="317" t="s">
        <v>86</v>
      </c>
      <c r="H181" s="430">
        <v>2012</v>
      </c>
      <c r="I181" s="318" t="s">
        <v>23</v>
      </c>
      <c r="J181" s="29">
        <v>44.59</v>
      </c>
      <c r="K181" s="29">
        <v>2414.65</v>
      </c>
      <c r="L181" s="479">
        <f t="shared" si="15"/>
        <v>107669.24350000001</v>
      </c>
      <c r="M181" s="107">
        <f>SUM(L177:L181)</f>
        <v>1207868.1742</v>
      </c>
      <c r="N181" s="107">
        <f>M181</f>
        <v>1207868.1742</v>
      </c>
      <c r="O181" s="534">
        <v>398384.95</v>
      </c>
      <c r="P181" s="107">
        <v>500000</v>
      </c>
      <c r="Q181" s="107" t="s">
        <v>246</v>
      </c>
      <c r="R181" s="545"/>
    </row>
    <row r="182" spans="1:33" s="237" customFormat="1" ht="33" customHeight="1" thickTop="1" x14ac:dyDescent="0.25">
      <c r="A182" s="319">
        <v>36</v>
      </c>
      <c r="B182" s="320" t="s">
        <v>123</v>
      </c>
      <c r="C182" s="321"/>
      <c r="D182" s="322" t="s">
        <v>137</v>
      </c>
      <c r="E182" s="323" t="s">
        <v>35</v>
      </c>
      <c r="F182" s="323" t="s">
        <v>64</v>
      </c>
      <c r="G182" s="320" t="s">
        <v>65</v>
      </c>
      <c r="H182" s="437">
        <v>2010</v>
      </c>
      <c r="I182" s="191" t="s">
        <v>66</v>
      </c>
      <c r="J182" s="438">
        <v>181.17</v>
      </c>
      <c r="K182" s="438">
        <v>6529.6</v>
      </c>
      <c r="L182" s="480">
        <f t="shared" si="15"/>
        <v>1182967.632</v>
      </c>
      <c r="M182" s="239"/>
      <c r="N182" s="239"/>
      <c r="O182" s="239"/>
      <c r="P182" s="239"/>
      <c r="Q182" s="239"/>
      <c r="R182" s="542" t="s">
        <v>207</v>
      </c>
      <c r="S182" s="236"/>
      <c r="T182" s="236"/>
      <c r="U182" s="236"/>
      <c r="V182" s="236"/>
      <c r="W182" s="236"/>
      <c r="X182" s="236"/>
      <c r="Y182" s="236"/>
      <c r="Z182" s="236"/>
      <c r="AA182" s="236"/>
      <c r="AB182" s="236"/>
      <c r="AC182" s="236"/>
      <c r="AD182" s="236"/>
      <c r="AE182" s="236"/>
      <c r="AF182" s="236"/>
      <c r="AG182" s="236"/>
    </row>
    <row r="183" spans="1:33" s="237" customFormat="1" ht="29.25" customHeight="1" thickBot="1" x14ac:dyDescent="0.3">
      <c r="A183" s="91"/>
      <c r="B183" s="97"/>
      <c r="C183" s="439"/>
      <c r="D183" s="331"/>
      <c r="E183" s="440"/>
      <c r="F183" s="87" t="s">
        <v>159</v>
      </c>
      <c r="G183" s="165">
        <v>1</v>
      </c>
      <c r="H183" s="405">
        <v>2012</v>
      </c>
      <c r="I183" s="166" t="s">
        <v>160</v>
      </c>
      <c r="J183" s="31">
        <v>72</v>
      </c>
      <c r="K183" s="441">
        <v>7345.63</v>
      </c>
      <c r="L183" s="470">
        <f t="shared" si="15"/>
        <v>528885.36</v>
      </c>
      <c r="M183" s="130">
        <f>SUM(L182:L183)</f>
        <v>1711852.9920000001</v>
      </c>
      <c r="N183" s="130">
        <f>M183</f>
        <v>1711852.9920000001</v>
      </c>
      <c r="O183" s="534">
        <v>490683.56</v>
      </c>
      <c r="P183" s="130">
        <v>500000</v>
      </c>
      <c r="Q183" s="130" t="s">
        <v>246</v>
      </c>
      <c r="R183" s="545"/>
      <c r="S183" s="236"/>
      <c r="T183" s="236"/>
      <c r="U183" s="236"/>
      <c r="V183" s="236"/>
      <c r="W183" s="236"/>
      <c r="X183" s="236"/>
      <c r="Y183" s="236"/>
      <c r="Z183" s="236"/>
      <c r="AA183" s="236"/>
      <c r="AB183" s="236"/>
      <c r="AC183" s="236"/>
      <c r="AD183" s="236"/>
      <c r="AE183" s="236"/>
      <c r="AF183" s="236"/>
      <c r="AG183" s="236"/>
    </row>
    <row r="184" spans="1:33" s="237" customFormat="1" ht="30.75" customHeight="1" thickTop="1" x14ac:dyDescent="0.25">
      <c r="A184" s="324">
        <v>37</v>
      </c>
      <c r="B184" s="325" t="s">
        <v>123</v>
      </c>
      <c r="C184" s="326"/>
      <c r="D184" s="327" t="s">
        <v>138</v>
      </c>
      <c r="E184" s="328" t="s">
        <v>35</v>
      </c>
      <c r="F184" s="329" t="s">
        <v>64</v>
      </c>
      <c r="G184" s="325" t="s">
        <v>65</v>
      </c>
      <c r="H184" s="442">
        <v>2010</v>
      </c>
      <c r="I184" s="184" t="s">
        <v>66</v>
      </c>
      <c r="J184" s="38">
        <v>181.17</v>
      </c>
      <c r="K184" s="30">
        <v>6529.6</v>
      </c>
      <c r="L184" s="481">
        <f t="shared" si="15"/>
        <v>1182967.632</v>
      </c>
      <c r="M184" s="302"/>
      <c r="N184" s="302"/>
      <c r="O184" s="239"/>
      <c r="P184" s="302"/>
      <c r="Q184" s="302"/>
      <c r="R184" s="542" t="s">
        <v>208</v>
      </c>
      <c r="S184" s="236"/>
      <c r="T184" s="236"/>
      <c r="U184" s="236"/>
      <c r="V184" s="236"/>
      <c r="W184" s="236"/>
      <c r="X184" s="236"/>
      <c r="Y184" s="236"/>
      <c r="Z184" s="236"/>
      <c r="AA184" s="236"/>
      <c r="AB184" s="236"/>
      <c r="AC184" s="236"/>
      <c r="AD184" s="236"/>
      <c r="AE184" s="236"/>
      <c r="AF184" s="236"/>
      <c r="AG184" s="236"/>
    </row>
    <row r="185" spans="1:33" s="237" customFormat="1" ht="29.25" customHeight="1" thickBot="1" x14ac:dyDescent="0.3">
      <c r="A185" s="291"/>
      <c r="B185" s="165"/>
      <c r="C185" s="330"/>
      <c r="D185" s="331"/>
      <c r="E185" s="332"/>
      <c r="F185" s="332" t="s">
        <v>159</v>
      </c>
      <c r="G185" s="165">
        <v>1</v>
      </c>
      <c r="H185" s="405">
        <v>2012</v>
      </c>
      <c r="I185" s="166" t="s">
        <v>18</v>
      </c>
      <c r="J185" s="31">
        <v>72</v>
      </c>
      <c r="K185" s="31">
        <v>7510.5</v>
      </c>
      <c r="L185" s="464">
        <f>J185*K185</f>
        <v>540756</v>
      </c>
      <c r="M185" s="130">
        <f>SUM(L184:L185)</f>
        <v>1723723.632</v>
      </c>
      <c r="N185" s="130">
        <f>M185</f>
        <v>1723723.632</v>
      </c>
      <c r="O185" s="538">
        <v>536708.98</v>
      </c>
      <c r="P185" s="130">
        <v>500000</v>
      </c>
      <c r="Q185" s="130" t="s">
        <v>246</v>
      </c>
      <c r="R185" s="545"/>
      <c r="S185" s="236"/>
      <c r="T185" s="236"/>
      <c r="U185" s="236"/>
      <c r="V185" s="236"/>
      <c r="W185" s="236"/>
      <c r="X185" s="236"/>
      <c r="Y185" s="236"/>
      <c r="Z185" s="236"/>
      <c r="AA185" s="236"/>
      <c r="AB185" s="236"/>
      <c r="AC185" s="236"/>
      <c r="AD185" s="236"/>
      <c r="AE185" s="236"/>
      <c r="AF185" s="236"/>
      <c r="AG185" s="236"/>
    </row>
    <row r="186" spans="1:33" ht="17.25" customHeight="1" thickTop="1" x14ac:dyDescent="0.25">
      <c r="A186" s="324">
        <v>38</v>
      </c>
      <c r="B186" s="333" t="s">
        <v>123</v>
      </c>
      <c r="C186" s="334"/>
      <c r="D186" s="180" t="s">
        <v>220</v>
      </c>
      <c r="E186" s="335" t="s">
        <v>35</v>
      </c>
      <c r="F186" s="224" t="s">
        <v>60</v>
      </c>
      <c r="G186" s="196" t="s">
        <v>36</v>
      </c>
      <c r="H186" s="403">
        <v>2018</v>
      </c>
      <c r="I186" s="80" t="s">
        <v>23</v>
      </c>
      <c r="J186" s="15">
        <v>89.19</v>
      </c>
      <c r="K186" s="15">
        <v>2195.14</v>
      </c>
      <c r="L186" s="467">
        <f t="shared" ref="L186:L187" si="19">J186*K186</f>
        <v>195784.53659999999</v>
      </c>
      <c r="M186" s="302"/>
      <c r="N186" s="302"/>
      <c r="O186" s="239"/>
      <c r="P186" s="302"/>
      <c r="Q186" s="302"/>
      <c r="R186" s="546" t="s">
        <v>222</v>
      </c>
    </row>
    <row r="187" spans="1:33" ht="17.25" customHeight="1" x14ac:dyDescent="0.25">
      <c r="A187" s="151"/>
      <c r="B187" s="228"/>
      <c r="C187" s="229"/>
      <c r="D187" s="123"/>
      <c r="E187" s="230"/>
      <c r="F187" s="230" t="s">
        <v>21</v>
      </c>
      <c r="G187" s="213">
        <v>1</v>
      </c>
      <c r="H187" s="410">
        <v>2000</v>
      </c>
      <c r="I187" s="191" t="s">
        <v>116</v>
      </c>
      <c r="J187" s="18">
        <v>48</v>
      </c>
      <c r="K187" s="18">
        <v>2195.14</v>
      </c>
      <c r="L187" s="480">
        <f t="shared" si="19"/>
        <v>105366.72</v>
      </c>
      <c r="M187" s="266"/>
      <c r="N187" s="266"/>
      <c r="O187" s="266"/>
      <c r="P187" s="266"/>
      <c r="Q187" s="266"/>
      <c r="R187" s="547"/>
    </row>
    <row r="188" spans="1:33" ht="17.25" customHeight="1" x14ac:dyDescent="0.25">
      <c r="A188" s="151"/>
      <c r="B188" s="228"/>
      <c r="C188" s="229"/>
      <c r="D188" s="123"/>
      <c r="E188" s="230"/>
      <c r="F188" s="230" t="s">
        <v>21</v>
      </c>
      <c r="G188" s="213" t="s">
        <v>224</v>
      </c>
      <c r="H188" s="414">
        <v>2000</v>
      </c>
      <c r="I188" s="89" t="s">
        <v>116</v>
      </c>
      <c r="J188" s="18">
        <v>48</v>
      </c>
      <c r="K188" s="18">
        <v>2195.14</v>
      </c>
      <c r="L188" s="463">
        <f t="shared" ref="L188:L189" si="20">J188*K188</f>
        <v>105366.72</v>
      </c>
      <c r="M188" s="484"/>
      <c r="N188" s="484"/>
      <c r="O188" s="484"/>
      <c r="P188" s="484"/>
      <c r="Q188" s="484"/>
      <c r="R188" s="547"/>
    </row>
    <row r="189" spans="1:33" ht="17.25" customHeight="1" thickBot="1" x14ac:dyDescent="0.3">
      <c r="A189" s="291"/>
      <c r="B189" s="292"/>
      <c r="C189" s="336"/>
      <c r="D189" s="128"/>
      <c r="E189" s="241"/>
      <c r="F189" s="175" t="s">
        <v>78</v>
      </c>
      <c r="G189" s="165" t="s">
        <v>86</v>
      </c>
      <c r="H189" s="431">
        <v>2014</v>
      </c>
      <c r="I189" s="166" t="s">
        <v>23</v>
      </c>
      <c r="J189" s="14">
        <v>44.59</v>
      </c>
      <c r="K189" s="14">
        <v>2414.65</v>
      </c>
      <c r="L189" s="470">
        <f t="shared" si="20"/>
        <v>107669.24350000001</v>
      </c>
      <c r="M189" s="130">
        <f>SUM(L186:L189)</f>
        <v>514187.22009999992</v>
      </c>
      <c r="N189" s="130">
        <f>M189</f>
        <v>514187.22009999992</v>
      </c>
      <c r="O189" s="534">
        <v>446778.8</v>
      </c>
      <c r="P189" s="130">
        <v>500000</v>
      </c>
      <c r="Q189" s="130" t="s">
        <v>246</v>
      </c>
      <c r="R189" s="548"/>
    </row>
    <row r="190" spans="1:33" ht="15.75" thickTop="1" x14ac:dyDescent="0.25">
      <c r="A190" s="109">
        <v>39</v>
      </c>
      <c r="B190" s="208" t="s">
        <v>139</v>
      </c>
      <c r="C190" s="111" t="s">
        <v>140</v>
      </c>
      <c r="D190" s="132" t="s">
        <v>141</v>
      </c>
      <c r="E190" s="168" t="s">
        <v>26</v>
      </c>
      <c r="F190" s="112" t="s">
        <v>57</v>
      </c>
      <c r="G190" s="113">
        <v>3</v>
      </c>
      <c r="H190" s="393">
        <v>2009</v>
      </c>
      <c r="I190" s="114" t="s">
        <v>20</v>
      </c>
      <c r="J190" s="6">
        <f>335.73*3</f>
        <v>1007.19</v>
      </c>
      <c r="K190" s="6">
        <v>6490.5</v>
      </c>
      <c r="L190" s="466">
        <f t="shared" si="15"/>
        <v>6537166.6950000003</v>
      </c>
      <c r="M190" s="115"/>
      <c r="N190" s="115"/>
      <c r="O190" s="115"/>
      <c r="P190" s="115"/>
      <c r="Q190" s="115"/>
      <c r="R190" s="543" t="s">
        <v>209</v>
      </c>
    </row>
    <row r="191" spans="1:33" x14ac:dyDescent="0.25">
      <c r="A191" s="209"/>
      <c r="B191" s="210"/>
      <c r="C191" s="211"/>
      <c r="D191" s="118"/>
      <c r="E191" s="198"/>
      <c r="F191" s="78" t="s">
        <v>58</v>
      </c>
      <c r="G191" s="119">
        <v>3</v>
      </c>
      <c r="H191" s="390">
        <v>2010</v>
      </c>
      <c r="I191" s="80" t="s">
        <v>20</v>
      </c>
      <c r="J191" s="2">
        <f>252.3*3</f>
        <v>756.90000000000009</v>
      </c>
      <c r="K191" s="2">
        <v>7031.38</v>
      </c>
      <c r="L191" s="467">
        <f t="shared" si="15"/>
        <v>5322051.5220000008</v>
      </c>
      <c r="M191" s="120"/>
      <c r="N191" s="120"/>
      <c r="O191" s="120"/>
      <c r="P191" s="120"/>
      <c r="Q191" s="120"/>
      <c r="R191" s="543"/>
    </row>
    <row r="192" spans="1:33" ht="15.75" thickBot="1" x14ac:dyDescent="0.3">
      <c r="A192" s="203"/>
      <c r="B192" s="215"/>
      <c r="C192" s="216"/>
      <c r="D192" s="128"/>
      <c r="E192" s="173"/>
      <c r="F192" s="173" t="s">
        <v>28</v>
      </c>
      <c r="G192" s="215">
        <v>1</v>
      </c>
      <c r="H192" s="411">
        <v>2011</v>
      </c>
      <c r="I192" s="98" t="s">
        <v>20</v>
      </c>
      <c r="J192" s="4">
        <v>210.69</v>
      </c>
      <c r="K192" s="4">
        <v>7594.1</v>
      </c>
      <c r="L192" s="464">
        <f t="shared" si="15"/>
        <v>1600000.929</v>
      </c>
      <c r="M192" s="130">
        <f>SUM(L190:L192)</f>
        <v>13459219.146</v>
      </c>
      <c r="N192" s="130">
        <f>M192</f>
        <v>13459219.146</v>
      </c>
      <c r="O192" s="534">
        <v>1550191.09</v>
      </c>
      <c r="P192" s="130">
        <v>1000000</v>
      </c>
      <c r="Q192" s="130" t="s">
        <v>246</v>
      </c>
      <c r="R192" s="545"/>
    </row>
    <row r="193" spans="1:18" ht="17.25" customHeight="1" thickTop="1" x14ac:dyDescent="0.25">
      <c r="A193" s="109">
        <v>40</v>
      </c>
      <c r="B193" s="208" t="s">
        <v>139</v>
      </c>
      <c r="C193" s="111" t="s">
        <v>142</v>
      </c>
      <c r="D193" s="132" t="s">
        <v>143</v>
      </c>
      <c r="E193" s="168" t="s">
        <v>26</v>
      </c>
      <c r="F193" s="68" t="s">
        <v>57</v>
      </c>
      <c r="G193" s="69">
        <v>3</v>
      </c>
      <c r="H193" s="398">
        <v>2013</v>
      </c>
      <c r="I193" s="70" t="s">
        <v>20</v>
      </c>
      <c r="J193" s="1">
        <f>335.73*3</f>
        <v>1007.19</v>
      </c>
      <c r="K193" s="6">
        <v>6490.5</v>
      </c>
      <c r="L193" s="466">
        <f t="shared" si="15"/>
        <v>6537166.6950000003</v>
      </c>
      <c r="M193" s="115"/>
      <c r="N193" s="115"/>
      <c r="O193" s="115"/>
      <c r="P193" s="115"/>
      <c r="Q193" s="115"/>
      <c r="R193" s="542" t="s">
        <v>210</v>
      </c>
    </row>
    <row r="194" spans="1:18" ht="17.25" customHeight="1" x14ac:dyDescent="0.25">
      <c r="A194" s="209"/>
      <c r="B194" s="210"/>
      <c r="C194" s="211"/>
      <c r="D194" s="118"/>
      <c r="E194" s="198"/>
      <c r="F194" s="238" t="s">
        <v>167</v>
      </c>
      <c r="G194" s="136">
        <v>3</v>
      </c>
      <c r="H194" s="390">
        <v>2018</v>
      </c>
      <c r="I194" s="137" t="s">
        <v>20</v>
      </c>
      <c r="J194" s="7">
        <f>252.3*3</f>
        <v>756.90000000000009</v>
      </c>
      <c r="K194" s="26">
        <v>7031.38</v>
      </c>
      <c r="L194" s="468">
        <f t="shared" ref="L194" si="21">J194*K194</f>
        <v>5322051.5220000008</v>
      </c>
      <c r="M194" s="138"/>
      <c r="N194" s="138"/>
      <c r="O194" s="138"/>
      <c r="P194" s="138"/>
      <c r="Q194" s="138"/>
      <c r="R194" s="543"/>
    </row>
    <row r="195" spans="1:18" ht="17.25" customHeight="1" thickBot="1" x14ac:dyDescent="0.3">
      <c r="A195" s="203"/>
      <c r="B195" s="215"/>
      <c r="C195" s="174"/>
      <c r="D195" s="128"/>
      <c r="E195" s="173"/>
      <c r="F195" s="173" t="s">
        <v>82</v>
      </c>
      <c r="G195" s="215">
        <v>1</v>
      </c>
      <c r="H195" s="411">
        <v>2011</v>
      </c>
      <c r="I195" s="173" t="s">
        <v>32</v>
      </c>
      <c r="J195" s="12">
        <v>197.62</v>
      </c>
      <c r="K195" s="12">
        <v>5949.63</v>
      </c>
      <c r="L195" s="464">
        <f t="shared" si="15"/>
        <v>1175765.8806</v>
      </c>
      <c r="M195" s="130">
        <f>SUM(L193:L195)</f>
        <v>13034984.0976</v>
      </c>
      <c r="N195" s="130">
        <f>M195</f>
        <v>13034984.0976</v>
      </c>
      <c r="O195" s="534">
        <v>1624787.96</v>
      </c>
      <c r="P195" s="130">
        <v>1000000</v>
      </c>
      <c r="Q195" s="130" t="s">
        <v>246</v>
      </c>
      <c r="R195" s="545"/>
    </row>
    <row r="196" spans="1:18" ht="17.25" customHeight="1" thickTop="1" x14ac:dyDescent="0.25">
      <c r="A196" s="109">
        <v>41</v>
      </c>
      <c r="B196" s="208" t="s">
        <v>146</v>
      </c>
      <c r="C196" s="111" t="s">
        <v>147</v>
      </c>
      <c r="D196" s="132" t="s">
        <v>221</v>
      </c>
      <c r="E196" s="168" t="s">
        <v>26</v>
      </c>
      <c r="F196" s="68" t="s">
        <v>21</v>
      </c>
      <c r="G196" s="208" t="s">
        <v>22</v>
      </c>
      <c r="H196" s="406">
        <v>2008</v>
      </c>
      <c r="I196" s="114" t="s">
        <v>23</v>
      </c>
      <c r="J196" s="10">
        <v>133.78</v>
      </c>
      <c r="K196" s="10">
        <v>2195.14</v>
      </c>
      <c r="L196" s="466">
        <f t="shared" si="15"/>
        <v>293665.82919999998</v>
      </c>
      <c r="M196" s="115"/>
      <c r="N196" s="115"/>
      <c r="O196" s="115"/>
      <c r="P196" s="115"/>
      <c r="Q196" s="115"/>
      <c r="R196" s="542" t="s">
        <v>211</v>
      </c>
    </row>
    <row r="197" spans="1:18" ht="17.25" customHeight="1" thickBot="1" x14ac:dyDescent="0.3">
      <c r="A197" s="91"/>
      <c r="B197" s="92"/>
      <c r="C197" s="127"/>
      <c r="D197" s="128"/>
      <c r="E197" s="95"/>
      <c r="F197" s="173" t="s">
        <v>57</v>
      </c>
      <c r="G197" s="97">
        <v>3</v>
      </c>
      <c r="H197" s="395">
        <v>2016</v>
      </c>
      <c r="I197" s="98" t="s">
        <v>20</v>
      </c>
      <c r="J197" s="4">
        <f>335.73*3</f>
        <v>1007.19</v>
      </c>
      <c r="K197" s="4">
        <f>5408.75*1.2</f>
        <v>6490.5</v>
      </c>
      <c r="L197" s="464">
        <f t="shared" si="15"/>
        <v>6537166.6950000003</v>
      </c>
      <c r="M197" s="130">
        <f>SUM(L196:L197)</f>
        <v>6830832.5241999999</v>
      </c>
      <c r="N197" s="130">
        <f>M197</f>
        <v>6830832.5241999999</v>
      </c>
      <c r="O197" s="534">
        <v>1971010.81</v>
      </c>
      <c r="P197" s="130">
        <v>500000</v>
      </c>
      <c r="Q197" s="130" t="s">
        <v>246</v>
      </c>
      <c r="R197" s="544"/>
    </row>
    <row r="198" spans="1:18" ht="57" customHeight="1" thickTop="1" thickBot="1" x14ac:dyDescent="0.3">
      <c r="A198" s="250">
        <v>42</v>
      </c>
      <c r="B198" s="337" t="s">
        <v>146</v>
      </c>
      <c r="C198" s="338"/>
      <c r="D198" s="270" t="s">
        <v>148</v>
      </c>
      <c r="E198" s="272" t="s">
        <v>35</v>
      </c>
      <c r="F198" s="436" t="s">
        <v>149</v>
      </c>
      <c r="G198" s="339">
        <v>1</v>
      </c>
      <c r="H198" s="432" t="s">
        <v>237</v>
      </c>
      <c r="I198" s="259" t="s">
        <v>18</v>
      </c>
      <c r="J198" s="32">
        <v>267.82</v>
      </c>
      <c r="K198" s="32">
        <v>0</v>
      </c>
      <c r="L198" s="475">
        <f t="shared" si="15"/>
        <v>0</v>
      </c>
      <c r="M198" s="340">
        <f>L198</f>
        <v>0</v>
      </c>
      <c r="N198" s="340">
        <v>0</v>
      </c>
      <c r="O198" s="535">
        <v>175946.77</v>
      </c>
      <c r="P198" s="340">
        <v>0</v>
      </c>
      <c r="Q198" s="340"/>
      <c r="R198" s="341" t="s">
        <v>212</v>
      </c>
    </row>
    <row r="199" spans="1:18" ht="17.25" customHeight="1" thickTop="1" x14ac:dyDescent="0.25">
      <c r="A199" s="285">
        <v>43</v>
      </c>
      <c r="B199" s="183" t="s">
        <v>146</v>
      </c>
      <c r="C199" s="295"/>
      <c r="D199" s="144" t="s">
        <v>150</v>
      </c>
      <c r="E199" s="240" t="s">
        <v>35</v>
      </c>
      <c r="F199" s="435" t="s">
        <v>60</v>
      </c>
      <c r="G199" s="183" t="s">
        <v>22</v>
      </c>
      <c r="H199" s="406">
        <v>2011</v>
      </c>
      <c r="I199" s="158" t="s">
        <v>23</v>
      </c>
      <c r="J199" s="11">
        <v>133.78</v>
      </c>
      <c r="K199" s="11">
        <v>2195.14</v>
      </c>
      <c r="L199" s="468">
        <f t="shared" si="15"/>
        <v>293665.82919999998</v>
      </c>
      <c r="M199" s="138"/>
      <c r="N199" s="138"/>
      <c r="O199" s="138"/>
      <c r="P199" s="138"/>
      <c r="Q199" s="138"/>
      <c r="R199" s="542" t="s">
        <v>213</v>
      </c>
    </row>
    <row r="200" spans="1:18" ht="17.25" customHeight="1" x14ac:dyDescent="0.25">
      <c r="A200" s="141"/>
      <c r="B200" s="278"/>
      <c r="C200" s="193"/>
      <c r="D200" s="144"/>
      <c r="E200" s="202"/>
      <c r="F200" s="227" t="s">
        <v>60</v>
      </c>
      <c r="G200" s="278" t="s">
        <v>22</v>
      </c>
      <c r="H200" s="409">
        <v>2011</v>
      </c>
      <c r="I200" s="147" t="s">
        <v>23</v>
      </c>
      <c r="J200" s="15">
        <v>133.78</v>
      </c>
      <c r="K200" s="15">
        <v>2195.14</v>
      </c>
      <c r="L200" s="467">
        <f t="shared" si="15"/>
        <v>293665.82919999998</v>
      </c>
      <c r="M200" s="120"/>
      <c r="N200" s="120"/>
      <c r="O200" s="120"/>
      <c r="P200" s="120"/>
      <c r="Q200" s="120"/>
      <c r="R200" s="543"/>
    </row>
    <row r="201" spans="1:18" x14ac:dyDescent="0.25">
      <c r="A201" s="209"/>
      <c r="B201" s="210"/>
      <c r="C201" s="199"/>
      <c r="D201" s="118"/>
      <c r="E201" s="198"/>
      <c r="F201" s="198" t="s">
        <v>82</v>
      </c>
      <c r="G201" s="210">
        <v>1</v>
      </c>
      <c r="H201" s="407">
        <v>2010</v>
      </c>
      <c r="I201" s="198" t="s">
        <v>151</v>
      </c>
      <c r="J201" s="16">
        <v>30.44</v>
      </c>
      <c r="K201" s="16">
        <v>5949.63</v>
      </c>
      <c r="L201" s="467">
        <f t="shared" si="15"/>
        <v>181106.7372</v>
      </c>
      <c r="M201" s="120"/>
      <c r="N201" s="120"/>
      <c r="O201" s="120"/>
      <c r="P201" s="120"/>
      <c r="Q201" s="120"/>
      <c r="R201" s="543"/>
    </row>
    <row r="202" spans="1:18" x14ac:dyDescent="0.25">
      <c r="A202" s="209"/>
      <c r="B202" s="210"/>
      <c r="C202" s="199"/>
      <c r="D202" s="118"/>
      <c r="E202" s="198"/>
      <c r="F202" s="198" t="s">
        <v>82</v>
      </c>
      <c r="G202" s="210">
        <v>1</v>
      </c>
      <c r="H202" s="407">
        <v>2010</v>
      </c>
      <c r="I202" s="198" t="s">
        <v>151</v>
      </c>
      <c r="J202" s="16">
        <v>30.44</v>
      </c>
      <c r="K202" s="16">
        <v>5949.63</v>
      </c>
      <c r="L202" s="467">
        <f t="shared" si="15"/>
        <v>181106.7372</v>
      </c>
      <c r="M202" s="120"/>
      <c r="N202" s="120"/>
      <c r="O202" s="120"/>
      <c r="P202" s="120"/>
      <c r="Q202" s="120"/>
      <c r="R202" s="543"/>
    </row>
    <row r="203" spans="1:18" x14ac:dyDescent="0.25">
      <c r="A203" s="212"/>
      <c r="B203" s="213"/>
      <c r="C203" s="186"/>
      <c r="D203" s="123"/>
      <c r="E203" s="125"/>
      <c r="F203" s="125" t="s">
        <v>82</v>
      </c>
      <c r="G203" s="213">
        <v>1</v>
      </c>
      <c r="H203" s="414">
        <v>2010</v>
      </c>
      <c r="I203" s="198" t="s">
        <v>151</v>
      </c>
      <c r="J203" s="18">
        <v>30.44</v>
      </c>
      <c r="K203" s="18">
        <v>5949.63</v>
      </c>
      <c r="L203" s="463">
        <f t="shared" si="15"/>
        <v>181106.7372</v>
      </c>
      <c r="M203" s="342">
        <f>SUM(L199:L203)</f>
        <v>1130651.8699999999</v>
      </c>
      <c r="N203" s="342">
        <f>M203</f>
        <v>1130651.8699999999</v>
      </c>
      <c r="O203" s="531">
        <v>10799.6</v>
      </c>
      <c r="P203" s="342">
        <v>500000</v>
      </c>
      <c r="Q203" s="342" t="s">
        <v>246</v>
      </c>
      <c r="R203" s="544"/>
    </row>
    <row r="204" spans="1:18" ht="3.75" customHeight="1" thickBot="1" x14ac:dyDescent="0.3">
      <c r="A204" s="343"/>
      <c r="B204" s="344"/>
      <c r="C204" s="345"/>
      <c r="D204" s="346"/>
      <c r="E204" s="347"/>
      <c r="F204" s="347"/>
      <c r="G204" s="344"/>
      <c r="H204" s="344"/>
      <c r="I204" s="347"/>
      <c r="J204" s="348"/>
      <c r="K204" s="348"/>
      <c r="L204" s="349"/>
      <c r="M204" s="349"/>
      <c r="N204" s="349"/>
      <c r="O204" s="349"/>
      <c r="P204" s="349"/>
      <c r="Q204" s="349"/>
      <c r="R204" s="347"/>
    </row>
    <row r="205" spans="1:18" ht="21.75" thickBot="1" x14ac:dyDescent="0.4">
      <c r="A205" s="350"/>
      <c r="B205" s="351"/>
      <c r="C205" s="351"/>
      <c r="D205" s="352"/>
      <c r="E205" s="351"/>
      <c r="F205" s="351"/>
      <c r="G205" s="351"/>
      <c r="H205" s="351"/>
      <c r="I205" s="351"/>
      <c r="J205" s="562" t="s">
        <v>152</v>
      </c>
      <c r="K205" s="562"/>
      <c r="L205" s="353"/>
      <c r="M205" s="444">
        <f>SUM(M6:M203)</f>
        <v>495189112.18116003</v>
      </c>
      <c r="N205" s="444">
        <f t="shared" ref="N205:P205" si="22">SUM(N6:N203)</f>
        <v>495189112.18116003</v>
      </c>
      <c r="O205" s="533">
        <f>SUM(O6:O203)</f>
        <v>133045907.11</v>
      </c>
      <c r="P205" s="444">
        <f t="shared" si="22"/>
        <v>30500000</v>
      </c>
      <c r="Q205" s="444"/>
      <c r="R205" s="354"/>
    </row>
    <row r="206" spans="1:18" x14ac:dyDescent="0.25">
      <c r="B206" s="356"/>
    </row>
    <row r="207" spans="1:18" x14ac:dyDescent="0.25">
      <c r="A207" s="563" t="s">
        <v>153</v>
      </c>
      <c r="B207" s="359" t="s">
        <v>154</v>
      </c>
      <c r="C207" s="566" t="s">
        <v>155</v>
      </c>
      <c r="D207" s="567"/>
      <c r="E207" s="360"/>
      <c r="F207" s="361"/>
      <c r="G207" s="361"/>
      <c r="H207" s="361"/>
      <c r="I207" s="361"/>
      <c r="J207" s="362"/>
      <c r="K207" s="362"/>
      <c r="L207" s="363"/>
      <c r="M207" s="364"/>
      <c r="N207" s="364"/>
      <c r="O207" s="364"/>
      <c r="P207" s="364"/>
      <c r="Q207" s="364"/>
      <c r="R207" s="365"/>
    </row>
    <row r="208" spans="1:18" ht="15.75" thickBot="1" x14ac:dyDescent="0.3">
      <c r="A208" s="564"/>
      <c r="B208" s="173"/>
      <c r="C208" s="366"/>
      <c r="D208" s="367"/>
      <c r="E208" s="368"/>
      <c r="F208" s="369"/>
      <c r="G208" s="369"/>
      <c r="H208" s="369"/>
      <c r="I208" s="369"/>
      <c r="J208" s="370"/>
      <c r="K208" s="370"/>
      <c r="L208" s="371"/>
      <c r="M208" s="372"/>
      <c r="N208" s="372"/>
      <c r="O208" s="372"/>
      <c r="P208" s="372"/>
      <c r="Q208" s="372"/>
      <c r="R208" s="373"/>
    </row>
    <row r="209" spans="1:18" ht="15.75" thickTop="1" x14ac:dyDescent="0.25">
      <c r="A209" s="564"/>
      <c r="B209" s="374" t="s">
        <v>154</v>
      </c>
      <c r="C209" s="568" t="s">
        <v>156</v>
      </c>
      <c r="D209" s="569"/>
      <c r="E209" s="368"/>
      <c r="F209" s="369"/>
      <c r="G209" s="369"/>
      <c r="H209" s="369"/>
      <c r="I209" s="369"/>
      <c r="J209" s="370"/>
      <c r="K209" s="370"/>
      <c r="L209" s="371"/>
      <c r="M209" s="372"/>
      <c r="N209" s="372"/>
      <c r="O209" s="372"/>
      <c r="P209" s="372"/>
      <c r="Q209" s="372"/>
      <c r="R209" s="373"/>
    </row>
    <row r="210" spans="1:18" x14ac:dyDescent="0.25">
      <c r="A210" s="564"/>
      <c r="B210" s="375"/>
      <c r="C210" s="376"/>
      <c r="D210" s="377"/>
      <c r="E210" s="368"/>
      <c r="F210" s="369"/>
      <c r="G210" s="369"/>
      <c r="H210" s="369"/>
      <c r="I210" s="369"/>
      <c r="J210" s="370"/>
      <c r="K210" s="370"/>
      <c r="L210" s="371"/>
      <c r="M210" s="372"/>
      <c r="N210" s="372"/>
      <c r="O210" s="372"/>
      <c r="P210" s="372"/>
      <c r="Q210" s="372"/>
      <c r="R210" s="373"/>
    </row>
    <row r="211" spans="1:18" x14ac:dyDescent="0.25">
      <c r="A211" s="564"/>
      <c r="B211" s="378"/>
      <c r="C211" s="570" t="s">
        <v>157</v>
      </c>
      <c r="D211" s="571"/>
      <c r="E211" s="368"/>
      <c r="F211" s="369"/>
      <c r="G211" s="369"/>
      <c r="H211" s="369"/>
      <c r="I211" s="369"/>
      <c r="J211" s="370"/>
      <c r="K211" s="370"/>
      <c r="L211" s="371"/>
      <c r="M211" s="372"/>
      <c r="N211" s="372"/>
      <c r="O211" s="372"/>
      <c r="P211" s="372"/>
      <c r="Q211" s="372"/>
      <c r="R211" s="373"/>
    </row>
    <row r="212" spans="1:18" x14ac:dyDescent="0.25">
      <c r="A212" s="564"/>
      <c r="B212" s="57"/>
      <c r="C212" s="570"/>
      <c r="D212" s="571"/>
      <c r="E212" s="368"/>
      <c r="F212" s="369"/>
      <c r="G212" s="369"/>
      <c r="H212" s="369"/>
      <c r="I212" s="369"/>
      <c r="J212" s="370"/>
      <c r="K212" s="370"/>
      <c r="L212" s="371"/>
      <c r="M212" s="372"/>
      <c r="N212" s="372"/>
      <c r="O212" s="372"/>
      <c r="P212" s="372"/>
      <c r="Q212" s="372"/>
      <c r="R212" s="373"/>
    </row>
    <row r="213" spans="1:18" x14ac:dyDescent="0.25">
      <c r="A213" s="565"/>
      <c r="B213" s="379"/>
      <c r="C213" s="572" t="s">
        <v>158</v>
      </c>
      <c r="D213" s="573"/>
      <c r="E213" s="380"/>
      <c r="F213" s="381"/>
      <c r="G213" s="381"/>
      <c r="H213" s="381"/>
      <c r="I213" s="381"/>
      <c r="J213" s="382"/>
      <c r="K213" s="382"/>
      <c r="L213" s="383"/>
      <c r="M213" s="384"/>
      <c r="N213" s="384"/>
      <c r="O213" s="384"/>
      <c r="P213" s="384"/>
      <c r="Q213" s="384"/>
      <c r="R213" s="385"/>
    </row>
    <row r="216" spans="1:18" x14ac:dyDescent="0.25">
      <c r="O216" s="231">
        <v>133045907.11</v>
      </c>
    </row>
    <row r="217" spans="1:18" x14ac:dyDescent="0.25">
      <c r="O217" s="231">
        <f>O216-O205</f>
        <v>0</v>
      </c>
    </row>
  </sheetData>
  <customSheetViews>
    <customSheetView guid="{09B2094C-19D8-47E1-AF56-545D1F5AA0A8}" scale="60" showPageBreaks="1">
      <pane ySplit="5" topLeftCell="A6" activePane="bottomLeft" state="frozen"/>
      <selection pane="bottomLeft" activeCell="D3" sqref="D3:J3"/>
      <pageMargins left="0.11811023622047245" right="0" top="0.15748031496062992" bottom="0.15748031496062992" header="0.31496062992125984" footer="0.31496062992125984"/>
      <printOptions horizontalCentered="1"/>
      <pageSetup paperSize="5" scale="45" orientation="landscape" r:id="rId1"/>
      <headerFooter>
        <oddFooter>&amp;R&amp;P  de &amp;N</oddFooter>
      </headerFooter>
    </customSheetView>
    <customSheetView guid="{A672F5D4-E0DD-46EC-9005-3B368E079EB9}" scale="60" showPageBreaks="1" topLeftCell="E1">
      <pane ySplit="5" topLeftCell="A147" activePane="bottomLeft" state="frozen"/>
      <selection pane="bottomLeft" activeCell="N205" sqref="N205"/>
      <pageMargins left="0.11811023622047245" right="0" top="0.15748031496062992" bottom="0.15748031496062992" header="0.31496062992125984" footer="0.31496062992125984"/>
      <printOptions horizontalCentered="1"/>
      <pageSetup paperSize="5" scale="45" orientation="landscape" r:id="rId2"/>
      <headerFooter>
        <oddFooter>&amp;R&amp;P  de &amp;N</oddFooter>
      </headerFooter>
    </customSheetView>
    <customSheetView guid="{98571CED-CC06-4DD2-AF37-345D8AE78018}" scale="70" showPageBreaks="1" topLeftCell="F1">
      <pane ySplit="5" topLeftCell="A6" activePane="bottomLeft" state="frozen"/>
      <selection pane="bottomLeft" activeCell="O9" sqref="O9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3"/>
      <headerFooter>
        <oddFooter>&amp;R&amp;P  de &amp;N</oddFooter>
      </headerFooter>
    </customSheetView>
    <customSheetView guid="{9E420CD0-3DBA-4476-8F22-8DA45419D7D4}" scale="70" showPageBreaks="1" topLeftCell="D1">
      <pane ySplit="5" topLeftCell="A6" activePane="bottomLeft" state="frozen"/>
      <selection pane="bottomLeft" activeCell="R208" sqref="R208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4"/>
      <headerFooter>
        <oddFooter>&amp;R&amp;P  de &amp;N</oddFooter>
      </headerFooter>
    </customSheetView>
    <customSheetView guid="{0386313A-73AE-47D0-965F-4D00B9DAD76D}" scale="70">
      <pane ySplit="5" topLeftCell="A27" activePane="bottomLeft" state="frozen"/>
      <selection pane="bottomLeft" activeCell="F42" sqref="F42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5"/>
      <headerFooter>
        <oddFooter>&amp;R&amp;P  de &amp;N</oddFooter>
      </headerFooter>
    </customSheetView>
    <customSheetView guid="{3EF0E66A-1E34-4E26-BD4A-9C22DA1B402C}" scale="70" showPageBreaks="1">
      <pane ySplit="5" topLeftCell="A6" activePane="bottomLeft" state="frozen"/>
      <selection pane="bottomLeft" activeCell="Q27" sqref="Q27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6"/>
      <headerFooter>
        <oddFooter>&amp;R&amp;P  de &amp;N</oddFooter>
      </headerFooter>
    </customSheetView>
    <customSheetView guid="{771257A9-3257-41CF-AC84-903D46ED5D4D}" scale="70" topLeftCell="H1">
      <pane ySplit="5" topLeftCell="A118" activePane="bottomLeft" state="frozen"/>
      <selection pane="bottomLeft" activeCell="M201" sqref="M201"/>
      <pageMargins left="0.11811023622047245" right="0.19685039370078741" top="0.35433070866141736" bottom="0.35433070866141736" header="0.31496062992125984" footer="0.31496062992125984"/>
      <printOptions horizontalCentered="1"/>
      <pageSetup scale="75" orientation="landscape" r:id="rId7"/>
      <headerFooter>
        <oddFooter>&amp;R&amp;P  de &amp;N</oddFooter>
      </headerFooter>
    </customSheetView>
  </customSheetViews>
  <mergeCells count="49">
    <mergeCell ref="J205:K205"/>
    <mergeCell ref="A207:A213"/>
    <mergeCell ref="C207:D207"/>
    <mergeCell ref="C209:D209"/>
    <mergeCell ref="C211:D212"/>
    <mergeCell ref="C213:D213"/>
    <mergeCell ref="R11:R18"/>
    <mergeCell ref="R19:R23"/>
    <mergeCell ref="R24:R29"/>
    <mergeCell ref="D1:J1"/>
    <mergeCell ref="D2:J2"/>
    <mergeCell ref="R6:R9"/>
    <mergeCell ref="D3:J3"/>
    <mergeCell ref="N3:Q3"/>
    <mergeCell ref="R30:R34"/>
    <mergeCell ref="R35:R39"/>
    <mergeCell ref="R40:R44"/>
    <mergeCell ref="R45:R52"/>
    <mergeCell ref="R53:R59"/>
    <mergeCell ref="R60:R64"/>
    <mergeCell ref="R65:R67"/>
    <mergeCell ref="R68:R71"/>
    <mergeCell ref="R72:R75"/>
    <mergeCell ref="R76:R79"/>
    <mergeCell ref="R81:R89"/>
    <mergeCell ref="R90:R96"/>
    <mergeCell ref="R97:R103"/>
    <mergeCell ref="R104:R111"/>
    <mergeCell ref="R112:R118"/>
    <mergeCell ref="R145:R148"/>
    <mergeCell ref="R149:R152"/>
    <mergeCell ref="R153:R158"/>
    <mergeCell ref="R119:R121"/>
    <mergeCell ref="R128:R132"/>
    <mergeCell ref="R134:R137"/>
    <mergeCell ref="R138:R144"/>
    <mergeCell ref="R122:R127"/>
    <mergeCell ref="R159:R161"/>
    <mergeCell ref="R163:R166"/>
    <mergeCell ref="R167:R169"/>
    <mergeCell ref="R170:R176"/>
    <mergeCell ref="R190:R192"/>
    <mergeCell ref="R199:R203"/>
    <mergeCell ref="R193:R195"/>
    <mergeCell ref="R196:R197"/>
    <mergeCell ref="R177:R181"/>
    <mergeCell ref="R182:R183"/>
    <mergeCell ref="R184:R185"/>
    <mergeCell ref="R186:R189"/>
  </mergeCells>
  <printOptions horizontalCentered="1"/>
  <pageMargins left="0.11811023622047245" right="0" top="0.15748031496062992" bottom="0.15748031496062992" header="0.31496062992125984" footer="0.31496062992125984"/>
  <pageSetup paperSize="5" scale="45" orientation="landscape" r:id="rId8"/>
  <headerFooter>
    <oddFooter>&amp;R&amp;P  de &amp;N</oddFooter>
  </headerFooter>
  <drawing r:id="rId9"/>
  <legacy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selection activeCell="D23" sqref="D23"/>
    </sheetView>
  </sheetViews>
  <sheetFormatPr baseColWidth="10" defaultRowHeight="15" x14ac:dyDescent="0.25"/>
  <cols>
    <col min="1" max="1" width="10.42578125" customWidth="1"/>
    <col min="2" max="2" width="32" bestFit="1" customWidth="1"/>
    <col min="3" max="3" width="23.85546875" customWidth="1"/>
    <col min="4" max="4" width="34.28515625" customWidth="1"/>
  </cols>
  <sheetData>
    <row r="1" spans="1:5" ht="18.75" x14ac:dyDescent="0.3">
      <c r="A1" s="574" t="s">
        <v>247</v>
      </c>
      <c r="B1" s="575"/>
      <c r="C1" s="575"/>
      <c r="D1" s="576"/>
    </row>
    <row r="2" spans="1:5" ht="18.75" x14ac:dyDescent="0.3">
      <c r="A2" s="574" t="s">
        <v>248</v>
      </c>
      <c r="B2" s="575"/>
      <c r="C2" s="575"/>
      <c r="D2" s="576"/>
    </row>
    <row r="3" spans="1:5" ht="47.25" customHeight="1" x14ac:dyDescent="0.25">
      <c r="A3" s="515"/>
      <c r="B3" s="516" t="s">
        <v>249</v>
      </c>
      <c r="C3" s="577" t="s">
        <v>274</v>
      </c>
      <c r="D3" s="578"/>
    </row>
    <row r="4" spans="1:5" ht="37.5" x14ac:dyDescent="0.3">
      <c r="A4" s="517"/>
      <c r="B4" s="518" t="s">
        <v>250</v>
      </c>
      <c r="C4" s="518" t="s">
        <v>251</v>
      </c>
      <c r="D4" s="519" t="s">
        <v>252</v>
      </c>
    </row>
    <row r="5" spans="1:5" ht="18.75" x14ac:dyDescent="0.25">
      <c r="A5" s="520" t="s">
        <v>253</v>
      </c>
      <c r="B5" s="520" t="s">
        <v>254</v>
      </c>
      <c r="C5" s="520"/>
      <c r="D5" s="521" t="s">
        <v>255</v>
      </c>
    </row>
    <row r="6" spans="1:5" ht="15.75" x14ac:dyDescent="0.25">
      <c r="A6" s="515"/>
      <c r="B6" s="522" t="s">
        <v>256</v>
      </c>
      <c r="C6" s="525">
        <v>495189112.18000001</v>
      </c>
      <c r="D6" s="523" t="s">
        <v>257</v>
      </c>
    </row>
    <row r="7" spans="1:5" ht="15.75" x14ac:dyDescent="0.25">
      <c r="A7" s="515"/>
      <c r="B7" s="522" t="s">
        <v>258</v>
      </c>
      <c r="C7" s="525">
        <v>495189112.18000001</v>
      </c>
      <c r="D7" s="522" t="s">
        <v>270</v>
      </c>
    </row>
    <row r="8" spans="1:5" ht="31.5" x14ac:dyDescent="0.25">
      <c r="A8" s="515"/>
      <c r="B8" s="524" t="s">
        <v>259</v>
      </c>
      <c r="C8" s="526">
        <f>C7-(C7*0.1)</f>
        <v>445670200.96200001</v>
      </c>
      <c r="D8" s="540" t="s">
        <v>260</v>
      </c>
      <c r="E8" s="541"/>
    </row>
    <row r="9" spans="1:5" ht="15.75" x14ac:dyDescent="0.25">
      <c r="A9" s="515"/>
      <c r="B9" s="522" t="s">
        <v>261</v>
      </c>
      <c r="C9" s="525">
        <f>C7-(C7*0.1)</f>
        <v>445670200.96200001</v>
      </c>
      <c r="D9" s="522" t="s">
        <v>262</v>
      </c>
    </row>
    <row r="10" spans="1:5" ht="15.75" x14ac:dyDescent="0.25">
      <c r="A10" s="515"/>
      <c r="B10" s="522" t="s">
        <v>263</v>
      </c>
      <c r="C10" s="525">
        <f>C7*0.1</f>
        <v>49518911.218000002</v>
      </c>
      <c r="D10" s="522" t="s">
        <v>257</v>
      </c>
    </row>
    <row r="11" spans="1:5" ht="18.75" x14ac:dyDescent="0.25">
      <c r="A11" s="520" t="s">
        <v>264</v>
      </c>
      <c r="B11" s="520" t="s">
        <v>265</v>
      </c>
      <c r="C11" s="527">
        <v>133045907.11</v>
      </c>
      <c r="D11" s="521" t="s">
        <v>255</v>
      </c>
    </row>
    <row r="12" spans="1:5" ht="15.75" x14ac:dyDescent="0.25">
      <c r="A12" s="515"/>
      <c r="B12" s="522" t="s">
        <v>256</v>
      </c>
      <c r="C12" s="525">
        <v>133045907.11</v>
      </c>
      <c r="D12" s="523" t="s">
        <v>257</v>
      </c>
    </row>
    <row r="13" spans="1:5" ht="15.75" x14ac:dyDescent="0.25">
      <c r="A13" s="515"/>
      <c r="B13" s="522" t="s">
        <v>258</v>
      </c>
      <c r="C13" s="525">
        <v>133045907.11</v>
      </c>
      <c r="D13" s="522" t="s">
        <v>270</v>
      </c>
    </row>
    <row r="14" spans="1:5" ht="31.5" x14ac:dyDescent="0.25">
      <c r="A14" s="515"/>
      <c r="B14" s="524" t="s">
        <v>259</v>
      </c>
      <c r="C14" s="526">
        <f>C13-(C13*0.1)</f>
        <v>119741316.399</v>
      </c>
      <c r="D14" s="540" t="s">
        <v>260</v>
      </c>
      <c r="E14" s="541"/>
    </row>
    <row r="15" spans="1:5" ht="15.75" x14ac:dyDescent="0.25">
      <c r="A15" s="515"/>
      <c r="B15" s="522" t="s">
        <v>261</v>
      </c>
      <c r="C15" s="525">
        <f>C13-(C13*0.1)</f>
        <v>119741316.399</v>
      </c>
      <c r="D15" s="522" t="s">
        <v>262</v>
      </c>
    </row>
    <row r="16" spans="1:5" ht="15.75" x14ac:dyDescent="0.25">
      <c r="A16" s="515"/>
      <c r="B16" s="522" t="s">
        <v>263</v>
      </c>
      <c r="C16" s="525">
        <f>C11*0.1</f>
        <v>13304590.711000001</v>
      </c>
      <c r="D16" s="522" t="s">
        <v>257</v>
      </c>
    </row>
    <row r="17" spans="1:10" ht="37.5" x14ac:dyDescent="0.25">
      <c r="A17" s="520" t="s">
        <v>266</v>
      </c>
      <c r="B17" s="520" t="s">
        <v>267</v>
      </c>
      <c r="C17" s="527">
        <v>30500000</v>
      </c>
      <c r="D17" s="521" t="s">
        <v>271</v>
      </c>
    </row>
    <row r="18" spans="1:10" ht="37.5" x14ac:dyDescent="0.25">
      <c r="A18" s="520" t="s">
        <v>268</v>
      </c>
      <c r="B18" s="520" t="s">
        <v>269</v>
      </c>
      <c r="C18" s="527">
        <v>100000</v>
      </c>
      <c r="D18" s="521" t="s">
        <v>272</v>
      </c>
    </row>
    <row r="19" spans="1:10" x14ac:dyDescent="0.25">
      <c r="C19" s="528"/>
    </row>
    <row r="20" spans="1:10" ht="88.5" customHeight="1" x14ac:dyDescent="0.25">
      <c r="C20" s="539" t="s">
        <v>273</v>
      </c>
      <c r="D20" s="539" t="s">
        <v>275</v>
      </c>
      <c r="E20" s="541"/>
      <c r="F20" s="541"/>
      <c r="G20" s="541"/>
      <c r="H20" s="541"/>
      <c r="I20" s="541"/>
      <c r="J20" s="541"/>
    </row>
  </sheetData>
  <customSheetViews>
    <customSheetView guid="{09B2094C-19D8-47E1-AF56-545D1F5AA0A8}" fitToPage="1" state="hidden">
      <selection activeCell="D23" sqref="D23"/>
      <pageMargins left="0.70866141732283472" right="0.70866141732283472" top="0.74803149606299213" bottom="0.74803149606299213" header="0.31496062992125984" footer="0.31496062992125984"/>
      <pageSetup scale="89" orientation="landscape" r:id="rId1"/>
    </customSheetView>
    <customSheetView guid="{A672F5D4-E0DD-46EC-9005-3B368E079EB9}" showPageBreaks="1" fitToPage="1">
      <selection activeCell="D23" sqref="D23"/>
      <pageMargins left="0.70866141732283472" right="0.70866141732283472" top="0.74803149606299213" bottom="0.74803149606299213" header="0.31496062992125984" footer="0.31496062992125984"/>
      <pageSetup scale="89" orientation="landscape" r:id="rId2"/>
    </customSheetView>
    <customSheetView guid="{98571CED-CC06-4DD2-AF37-345D8AE78018}">
      <selection activeCell="C15" sqref="C15"/>
      <pageMargins left="0.7" right="0.7" top="0.75" bottom="0.75" header="0.3" footer="0.3"/>
    </customSheetView>
    <customSheetView guid="{9E420CD0-3DBA-4476-8F22-8DA45419D7D4}">
      <selection activeCell="D22" sqref="D22"/>
      <pageMargins left="0.7" right="0.7" top="0.75" bottom="0.75" header="0.3" footer="0.3"/>
    </customSheetView>
    <customSheetView guid="{771257A9-3257-41CF-AC84-903D46ED5D4D}">
      <selection activeCell="C15" sqref="C15"/>
      <pageMargins left="0.7" right="0.7" top="0.75" bottom="0.75" header="0.3" footer="0.3"/>
    </customSheetView>
  </customSheetViews>
  <mergeCells count="3">
    <mergeCell ref="A1:D1"/>
    <mergeCell ref="A2:D2"/>
    <mergeCell ref="C3:D3"/>
  </mergeCells>
  <pageMargins left="0.70866141732283472" right="0.70866141732283472" top="0.74803149606299213" bottom="0.74803149606299213" header="0.31496062992125984" footer="0.31496062992125984"/>
  <pageSetup scale="89" orientation="landscape"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customSheetViews>
    <customSheetView guid="{09B2094C-19D8-47E1-AF56-545D1F5AA0A8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EDIFICIOS </vt:lpstr>
      <vt:lpstr>Anexo 1</vt:lpstr>
      <vt:lpstr>Hoja1</vt:lpstr>
      <vt:lpstr>'EDIFICIOS '!Títulos_a_imprimir</vt:lpstr>
    </vt:vector>
  </TitlesOfParts>
  <Company>cecytebc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minerva</dc:creator>
  <cp:lastModifiedBy>MIGUEL</cp:lastModifiedBy>
  <cp:lastPrinted>2021-03-24T16:27:36Z</cp:lastPrinted>
  <dcterms:created xsi:type="dcterms:W3CDTF">2013-10-02T19:04:02Z</dcterms:created>
  <dcterms:modified xsi:type="dcterms:W3CDTF">2021-05-14T19:00:16Z</dcterms:modified>
</cp:coreProperties>
</file>